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0" windowWidth="19200" windowHeight="1099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[1]группаИП!$A$7:$A$49</definedName>
    <definedName name="список1">[1]цели!$A$1:$A$7</definedName>
    <definedName name="список2">[1]МО!$A$1:$A$22</definedName>
    <definedName name="список5">'[2]список 5'!$A$1:$A$2</definedName>
    <definedName name="список6">'[2]список 5'!$A$1:$A$3</definedName>
    <definedName name="список7">[2]список7!$A$1:$A$3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62913"/>
</workbook>
</file>

<file path=xl/calcChain.xml><?xml version="1.0" encoding="utf-8"?>
<calcChain xmlns="http://schemas.openxmlformats.org/spreadsheetml/2006/main">
  <c r="B27" i="22" l="1"/>
  <c r="K26" i="5"/>
  <c r="J26" i="5"/>
  <c r="I26" i="5"/>
  <c r="G26" i="5"/>
  <c r="R30" i="15"/>
  <c r="R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37"/>
  <c r="D26" i="5" l="1"/>
  <c r="G30" i="15"/>
  <c r="H30" i="15"/>
  <c r="I30" i="15"/>
  <c r="J30" i="15"/>
  <c r="K30" i="15"/>
  <c r="L30" i="15"/>
  <c r="M30" i="15"/>
  <c r="N30" i="15"/>
  <c r="O30" i="15"/>
  <c r="P30" i="15"/>
  <c r="Q30" i="15"/>
  <c r="S30" i="15"/>
  <c r="F26" i="15"/>
  <c r="F27" i="15"/>
  <c r="F28" i="15"/>
  <c r="F29" i="15"/>
  <c r="F32" i="15"/>
  <c r="F33" i="15"/>
  <c r="F34" i="15"/>
  <c r="F35" i="15"/>
  <c r="F36" i="15"/>
  <c r="F38" i="15"/>
  <c r="F39" i="15"/>
  <c r="F42" i="15"/>
  <c r="F43" i="15"/>
  <c r="F51" i="15"/>
  <c r="F53" i="15"/>
  <c r="F55" i="15"/>
  <c r="F58" i="15"/>
  <c r="F59" i="15"/>
  <c r="F60" i="15"/>
  <c r="F61" i="15"/>
  <c r="F62" i="15"/>
  <c r="F64" i="15"/>
  <c r="F25" i="15"/>
  <c r="C67" i="37" l="1"/>
  <c r="F40" i="15"/>
  <c r="F37" i="15"/>
  <c r="C48" i="37"/>
  <c r="D48" i="37"/>
  <c r="B48" i="37"/>
  <c r="B81" i="37"/>
  <c r="C133" i="37"/>
  <c r="D133" i="37" s="1"/>
  <c r="B130" i="37"/>
  <c r="F31" i="15" l="1"/>
  <c r="F30" i="15" s="1"/>
  <c r="E30" i="15"/>
  <c r="B29" i="22"/>
  <c r="B22" i="22"/>
  <c r="A15" i="22"/>
  <c r="B21" i="22" s="1"/>
  <c r="A12" i="22"/>
  <c r="A9" i="22"/>
  <c r="A5" i="22"/>
  <c r="B91" i="22"/>
  <c r="B89" i="22"/>
  <c r="B66" i="22"/>
  <c r="B49" i="22"/>
  <c r="B32" i="22"/>
  <c r="C41" i="15"/>
  <c r="U64" i="15"/>
  <c r="T64" i="15"/>
  <c r="U63" i="15"/>
  <c r="U62" i="15"/>
  <c r="T62" i="15"/>
  <c r="U61" i="15"/>
  <c r="T61" i="15"/>
  <c r="U60" i="15"/>
  <c r="T60" i="15"/>
  <c r="U59" i="15"/>
  <c r="T59" i="15"/>
  <c r="U58" i="15"/>
  <c r="T58" i="15"/>
  <c r="U57" i="15"/>
  <c r="U56" i="15"/>
  <c r="U55" i="15"/>
  <c r="T55" i="15"/>
  <c r="U54" i="15"/>
  <c r="U53" i="15"/>
  <c r="T53" i="15"/>
  <c r="U52" i="15"/>
  <c r="U51" i="15"/>
  <c r="T51" i="15"/>
  <c r="U50" i="15"/>
  <c r="C50" i="15"/>
  <c r="U49" i="15"/>
  <c r="U48" i="15"/>
  <c r="C48" i="15"/>
  <c r="U47" i="15"/>
  <c r="C47" i="15"/>
  <c r="F47" i="15" s="1"/>
  <c r="U46" i="15"/>
  <c r="C46" i="15"/>
  <c r="U45" i="15"/>
  <c r="C45" i="15"/>
  <c r="F45" i="15" s="1"/>
  <c r="U44" i="15"/>
  <c r="C44" i="15"/>
  <c r="U43" i="15"/>
  <c r="T43" i="15"/>
  <c r="U42" i="15"/>
  <c r="T42" i="15"/>
  <c r="U41" i="15"/>
  <c r="U40" i="15"/>
  <c r="T40" i="15"/>
  <c r="U39" i="15"/>
  <c r="T39" i="15"/>
  <c r="U38" i="15"/>
  <c r="T38" i="15"/>
  <c r="U37" i="15"/>
  <c r="T37" i="15"/>
  <c r="U36" i="15"/>
  <c r="T36" i="15"/>
  <c r="U35" i="15"/>
  <c r="T35" i="15"/>
  <c r="U34" i="15"/>
  <c r="T34" i="15"/>
  <c r="U33" i="15"/>
  <c r="T33" i="15"/>
  <c r="U32" i="15"/>
  <c r="U31" i="15"/>
  <c r="T31" i="15"/>
  <c r="C30" i="15"/>
  <c r="U29" i="15"/>
  <c r="T29" i="15"/>
  <c r="U28" i="15"/>
  <c r="T28" i="15"/>
  <c r="U27" i="15"/>
  <c r="U26" i="15"/>
  <c r="T26" i="15"/>
  <c r="U25" i="15"/>
  <c r="T25" i="15"/>
  <c r="S24" i="15"/>
  <c r="Q24" i="15"/>
  <c r="O24" i="15"/>
  <c r="N24" i="15"/>
  <c r="M24" i="15"/>
  <c r="L24" i="15"/>
  <c r="K24" i="15"/>
  <c r="J24" i="15"/>
  <c r="I24" i="15"/>
  <c r="H24" i="15"/>
  <c r="G24" i="15"/>
  <c r="C24" i="15"/>
  <c r="A15" i="10"/>
  <c r="A12" i="10"/>
  <c r="A9" i="10"/>
  <c r="A5" i="10"/>
  <c r="F41" i="15" l="1"/>
  <c r="T44" i="15"/>
  <c r="F44" i="15"/>
  <c r="T46" i="15"/>
  <c r="F46" i="15"/>
  <c r="T48" i="15"/>
  <c r="F48" i="15"/>
  <c r="C49" i="15"/>
  <c r="F49" i="15" s="1"/>
  <c r="C57" i="15"/>
  <c r="F57" i="15" s="1"/>
  <c r="F50" i="15"/>
  <c r="U24" i="15"/>
  <c r="C48" i="7" s="1"/>
  <c r="U30" i="15"/>
  <c r="C49" i="7" s="1"/>
  <c r="F24" i="15"/>
  <c r="T45" i="15"/>
  <c r="T47" i="15"/>
  <c r="C52" i="15"/>
  <c r="B88" i="22"/>
  <c r="B30" i="22"/>
  <c r="B51" i="22"/>
  <c r="B76" i="22"/>
  <c r="T30" i="15"/>
  <c r="T27" i="15"/>
  <c r="T24" i="15"/>
  <c r="T49" i="15"/>
  <c r="T41" i="15"/>
  <c r="T57" i="15"/>
  <c r="E24" i="15"/>
  <c r="T32" i="15"/>
  <c r="C54" i="15"/>
  <c r="F54" i="15" s="1"/>
  <c r="T50" i="15"/>
  <c r="C56" i="15" l="1"/>
  <c r="C63" i="15" s="1"/>
  <c r="F63" i="15" s="1"/>
  <c r="T56" i="15"/>
  <c r="F56" i="15"/>
  <c r="T52" i="15"/>
  <c r="F52" i="15"/>
  <c r="B29" i="37"/>
  <c r="B63" i="22"/>
  <c r="B38" i="22"/>
  <c r="B59" i="22"/>
  <c r="B68" i="22"/>
  <c r="B72" i="22"/>
  <c r="B46" i="22"/>
  <c r="B55" i="22"/>
  <c r="B34" i="22"/>
  <c r="B83" i="22"/>
  <c r="B42" i="22"/>
  <c r="B80" i="22"/>
  <c r="B90" i="22"/>
  <c r="T54" i="15"/>
  <c r="T63" i="15"/>
  <c r="C28" i="17"/>
  <c r="C26" i="17" s="1"/>
  <c r="D28" i="17"/>
  <c r="D26" i="17" s="1"/>
  <c r="F29" i="17"/>
  <c r="F28" i="17" s="1"/>
  <c r="F27" i="17"/>
  <c r="G26" i="17"/>
  <c r="E26" i="17"/>
  <c r="F26" i="17" l="1"/>
  <c r="P26" i="17"/>
  <c r="I26" i="17" l="1"/>
  <c r="O26" i="17"/>
  <c r="S26" i="17" s="1"/>
  <c r="T26" i="17"/>
  <c r="J26" i="17"/>
  <c r="Q26" i="17"/>
  <c r="V26" i="17"/>
  <c r="W26" i="17" l="1"/>
  <c r="X26" i="17"/>
  <c r="D134" i="37" l="1"/>
  <c r="B73" i="37" s="1"/>
  <c r="C134" i="37"/>
  <c r="E133" i="37"/>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AH132" i="37" s="1"/>
  <c r="AI132" i="37" s="1"/>
  <c r="AJ132" i="37" s="1"/>
  <c r="AK132" i="37" s="1"/>
  <c r="AL132" i="37" s="1"/>
  <c r="AM132" i="37" s="1"/>
  <c r="C130" i="37"/>
  <c r="D130" i="37" s="1"/>
  <c r="G129" i="37"/>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AH128" i="37" s="1"/>
  <c r="AI128" i="37" s="1"/>
  <c r="AJ128" i="37" s="1"/>
  <c r="AK128" i="37" s="1"/>
  <c r="AL128" i="37" s="1"/>
  <c r="AM128" i="37" s="1"/>
  <c r="G112" i="37"/>
  <c r="G111" i="37"/>
  <c r="I111" i="37" s="1"/>
  <c r="I113" i="37" s="1"/>
  <c r="C102" i="37" s="1"/>
  <c r="D102" i="37" s="1"/>
  <c r="E102" i="37" s="1"/>
  <c r="D111" i="37"/>
  <c r="B111" i="37"/>
  <c r="B105"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AH100" i="37" s="1"/>
  <c r="AI100" i="37" s="1"/>
  <c r="AJ100" i="37" s="1"/>
  <c r="AK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AG91" i="37" s="1"/>
  <c r="AH91" i="37" s="1"/>
  <c r="AI91" i="37" s="1"/>
  <c r="AJ91" i="37" s="1"/>
  <c r="AK91" i="37" s="1"/>
  <c r="B76" i="37"/>
  <c r="B74" i="37"/>
  <c r="A62" i="37"/>
  <c r="B60" i="37"/>
  <c r="C58" i="37"/>
  <c r="C74" i="37" s="1"/>
  <c r="B52" i="37"/>
  <c r="B50" i="37"/>
  <c r="B59" i="37" s="1"/>
  <c r="B47" i="37"/>
  <c r="B45" i="37"/>
  <c r="H129" i="37" l="1"/>
  <c r="E48" i="37"/>
  <c r="E130" i="37"/>
  <c r="B49" i="37"/>
  <c r="B79" i="37"/>
  <c r="C101" i="37"/>
  <c r="B46" i="37"/>
  <c r="F102" i="37"/>
  <c r="F101" i="37" s="1"/>
  <c r="E101" i="37"/>
  <c r="C47" i="37"/>
  <c r="C52" i="37"/>
  <c r="D101" i="37"/>
  <c r="G113" i="37"/>
  <c r="D58" i="37"/>
  <c r="D74" i="37" s="1"/>
  <c r="B66" i="37"/>
  <c r="B68" i="37" s="1"/>
  <c r="B80" i="37"/>
  <c r="E134" i="37"/>
  <c r="C73" i="37" s="1"/>
  <c r="F133" i="37"/>
  <c r="F130" i="37" l="1"/>
  <c r="C49" i="37"/>
  <c r="C50" i="37" s="1"/>
  <c r="C59" i="37" s="1"/>
  <c r="I129" i="37"/>
  <c r="F48" i="37"/>
  <c r="G102" i="37"/>
  <c r="H102" i="37" s="1"/>
  <c r="E58" i="37"/>
  <c r="F58" i="37" s="1"/>
  <c r="D52" i="37"/>
  <c r="D47" i="37"/>
  <c r="G101" i="37"/>
  <c r="B75" i="37"/>
  <c r="G133" i="37"/>
  <c r="G134" i="37" s="1"/>
  <c r="E73" i="37" s="1"/>
  <c r="F134" i="37"/>
  <c r="D73" i="37" s="1"/>
  <c r="C80" i="37" l="1"/>
  <c r="J129" i="37"/>
  <c r="G48" i="37"/>
  <c r="D49" i="37"/>
  <c r="D50" i="37" s="1"/>
  <c r="D59" i="37" s="1"/>
  <c r="D80" i="37" s="1"/>
  <c r="G130" i="37"/>
  <c r="E47" i="37"/>
  <c r="E52" i="37"/>
  <c r="E74" i="37"/>
  <c r="I102" i="37"/>
  <c r="H101" i="37"/>
  <c r="H133" i="37"/>
  <c r="H134" i="37" s="1"/>
  <c r="F73" i="37" s="1"/>
  <c r="G58" i="37"/>
  <c r="F52" i="37"/>
  <c r="F47" i="37"/>
  <c r="F74" i="37"/>
  <c r="H130" i="37" l="1"/>
  <c r="E49" i="37"/>
  <c r="E50" i="37" s="1"/>
  <c r="E59" i="37" s="1"/>
  <c r="H48" i="37"/>
  <c r="K129" i="37"/>
  <c r="J102" i="37"/>
  <c r="I101" i="37"/>
  <c r="G74" i="37"/>
  <c r="G52" i="37"/>
  <c r="G47" i="37"/>
  <c r="H58" i="37"/>
  <c r="I133" i="37"/>
  <c r="I134" i="37" s="1"/>
  <c r="I48" i="37" l="1"/>
  <c r="L129" i="37"/>
  <c r="E80" i="37"/>
  <c r="B85" i="37"/>
  <c r="G73" i="37"/>
  <c r="I130" i="37"/>
  <c r="F49" i="37"/>
  <c r="F50" i="37" s="1"/>
  <c r="F59" i="37" s="1"/>
  <c r="K102" i="37"/>
  <c r="J101" i="37"/>
  <c r="J133" i="37"/>
  <c r="H74" i="37"/>
  <c r="I58" i="37"/>
  <c r="H52" i="37"/>
  <c r="H47" i="37"/>
  <c r="J130" i="37" l="1"/>
  <c r="G49" i="37"/>
  <c r="G50" i="37" s="1"/>
  <c r="G59" i="37" s="1"/>
  <c r="J48" i="37"/>
  <c r="M129" i="37"/>
  <c r="F80" i="37"/>
  <c r="K133" i="37"/>
  <c r="J134" i="37"/>
  <c r="K101" i="37"/>
  <c r="L102" i="37"/>
  <c r="J58" i="37"/>
  <c r="I74" i="37"/>
  <c r="I52" i="37"/>
  <c r="I47" i="37"/>
  <c r="C85" i="37" l="1"/>
  <c r="H73" i="37"/>
  <c r="K48" i="37"/>
  <c r="N129" i="37"/>
  <c r="G80" i="37"/>
  <c r="H49" i="37"/>
  <c r="H50" i="37" s="1"/>
  <c r="H59" i="37" s="1"/>
  <c r="K130" i="37"/>
  <c r="L133" i="37"/>
  <c r="L134" i="37" s="1"/>
  <c r="L101" i="37"/>
  <c r="M102" i="37"/>
  <c r="K134" i="37"/>
  <c r="K58" i="37"/>
  <c r="J74" i="37"/>
  <c r="J52" i="37"/>
  <c r="J47" i="37"/>
  <c r="E85" i="37" l="1"/>
  <c r="J73" i="37"/>
  <c r="I49" i="37"/>
  <c r="I50" i="37" s="1"/>
  <c r="I59" i="37" s="1"/>
  <c r="L130" i="37"/>
  <c r="L48" i="37"/>
  <c r="O129" i="37"/>
  <c r="D85" i="37"/>
  <c r="I73" i="37"/>
  <c r="H80" i="37"/>
  <c r="N102" i="37"/>
  <c r="M101" i="37"/>
  <c r="M133" i="37"/>
  <c r="M134" i="37" s="1"/>
  <c r="K74" i="37"/>
  <c r="K52" i="37"/>
  <c r="K47" i="37"/>
  <c r="L58" i="37"/>
  <c r="M48" i="37" l="1"/>
  <c r="P129" i="37"/>
  <c r="J49" i="37"/>
  <c r="J50" i="37" s="1"/>
  <c r="J59" i="37" s="1"/>
  <c r="J80" i="37" s="1"/>
  <c r="M130" i="37"/>
  <c r="F85" i="37"/>
  <c r="K73" i="37"/>
  <c r="I80" i="37"/>
  <c r="L74" i="37"/>
  <c r="M58" i="37"/>
  <c r="L52" i="37"/>
  <c r="L47" i="37"/>
  <c r="N133" i="37"/>
  <c r="O102" i="37"/>
  <c r="N101" i="37"/>
  <c r="K49" i="37" l="1"/>
  <c r="K50" i="37" s="1"/>
  <c r="K59" i="37" s="1"/>
  <c r="K80" i="37" s="1"/>
  <c r="N130" i="37"/>
  <c r="N48" i="37"/>
  <c r="Q129" i="37"/>
  <c r="O133" i="37"/>
  <c r="O134" i="37" s="1"/>
  <c r="N134" i="37"/>
  <c r="O101" i="37"/>
  <c r="P102" i="37"/>
  <c r="N58" i="37"/>
  <c r="M74" i="37"/>
  <c r="M52" i="37"/>
  <c r="M47" i="37"/>
  <c r="G85" i="37" l="1"/>
  <c r="L73" i="37"/>
  <c r="O48" i="37"/>
  <c r="R129" i="37"/>
  <c r="L49" i="37"/>
  <c r="L50" i="37" s="1"/>
  <c r="L59" i="37" s="1"/>
  <c r="O130" i="37"/>
  <c r="H85" i="37"/>
  <c r="M73" i="37"/>
  <c r="Q102" i="37"/>
  <c r="P101" i="37"/>
  <c r="O58" i="37"/>
  <c r="N47" i="37"/>
  <c r="N74" i="37"/>
  <c r="N52" i="37"/>
  <c r="P133" i="37"/>
  <c r="M49" i="37" l="1"/>
  <c r="M50" i="37" s="1"/>
  <c r="M59" i="37" s="1"/>
  <c r="M80" i="37" s="1"/>
  <c r="P130" i="37"/>
  <c r="P48" i="37"/>
  <c r="S129" i="37"/>
  <c r="L80" i="37"/>
  <c r="Q133" i="37"/>
  <c r="Q134" i="37" s="1"/>
  <c r="P134" i="37"/>
  <c r="R102" i="37"/>
  <c r="Q101" i="37"/>
  <c r="O74" i="37"/>
  <c r="P58" i="37"/>
  <c r="O52" i="37"/>
  <c r="O47" i="37"/>
  <c r="I85" i="37" l="1"/>
  <c r="N73" i="37"/>
  <c r="Q48" i="37"/>
  <c r="T129" i="37"/>
  <c r="N49" i="37"/>
  <c r="N50" i="37" s="1"/>
  <c r="N59" i="37" s="1"/>
  <c r="Q130" i="37"/>
  <c r="J85" i="37"/>
  <c r="O73" i="37"/>
  <c r="P74" i="37"/>
  <c r="Q58" i="37"/>
  <c r="P52" i="37"/>
  <c r="P47" i="37"/>
  <c r="R133" i="37"/>
  <c r="R134" i="37" s="1"/>
  <c r="S102" i="37"/>
  <c r="R101" i="37"/>
  <c r="K85" i="37" l="1"/>
  <c r="P73" i="37"/>
  <c r="O49" i="37"/>
  <c r="O50" i="37" s="1"/>
  <c r="O59" i="37" s="1"/>
  <c r="O80" i="37" s="1"/>
  <c r="R130" i="37"/>
  <c r="R48" i="37"/>
  <c r="U129" i="37"/>
  <c r="N80" i="37"/>
  <c r="S101" i="37"/>
  <c r="T102" i="37"/>
  <c r="S133" i="37"/>
  <c r="S134" i="37" s="1"/>
  <c r="R58" i="37"/>
  <c r="Q74" i="37"/>
  <c r="Q52" i="37"/>
  <c r="Q47" i="37"/>
  <c r="L85" i="37" l="1"/>
  <c r="Q73" i="37"/>
  <c r="S48" i="37"/>
  <c r="V129" i="37"/>
  <c r="P49" i="37"/>
  <c r="P50" i="37" s="1"/>
  <c r="P59" i="37" s="1"/>
  <c r="P80" i="37" s="1"/>
  <c r="S130" i="37"/>
  <c r="T133" i="37"/>
  <c r="T134" i="37" s="1"/>
  <c r="S58" i="37"/>
  <c r="R74" i="37"/>
  <c r="R52" i="37"/>
  <c r="R47" i="37"/>
  <c r="T101" i="37"/>
  <c r="U102" i="37"/>
  <c r="M85" i="37" l="1"/>
  <c r="R73" i="37"/>
  <c r="Q49" i="37"/>
  <c r="Q50" i="37" s="1"/>
  <c r="Q59" i="37" s="1"/>
  <c r="Q80" i="37" s="1"/>
  <c r="T130" i="37"/>
  <c r="T48" i="37"/>
  <c r="W129" i="37"/>
  <c r="S74" i="37"/>
  <c r="T58" i="37"/>
  <c r="S52" i="37"/>
  <c r="S47" i="37"/>
  <c r="V102" i="37"/>
  <c r="U101" i="37"/>
  <c r="U133" i="37"/>
  <c r="U134" i="37" s="1"/>
  <c r="N85" i="37" l="1"/>
  <c r="S73" i="37"/>
  <c r="U48" i="37"/>
  <c r="X129" i="37"/>
  <c r="R49" i="37"/>
  <c r="R50" i="37" s="1"/>
  <c r="R59" i="37" s="1"/>
  <c r="R80" i="37" s="1"/>
  <c r="U130" i="37"/>
  <c r="T74" i="37"/>
  <c r="U58" i="37"/>
  <c r="T52" i="37"/>
  <c r="T47" i="37"/>
  <c r="W102" i="37"/>
  <c r="V101" i="37"/>
  <c r="V133" i="37"/>
  <c r="V134" i="37" s="1"/>
  <c r="O85" i="37" l="1"/>
  <c r="T73" i="37"/>
  <c r="S49" i="37"/>
  <c r="S50" i="37" s="1"/>
  <c r="S59" i="37" s="1"/>
  <c r="S80" i="37" s="1"/>
  <c r="V130" i="37"/>
  <c r="V48" i="37"/>
  <c r="Y129" i="37"/>
  <c r="W101" i="37"/>
  <c r="X102" i="37"/>
  <c r="W133" i="37"/>
  <c r="W134" i="37" s="1"/>
  <c r="V58" i="37"/>
  <c r="U74" i="37"/>
  <c r="U52" i="37"/>
  <c r="U47" i="37"/>
  <c r="P85" i="37" l="1"/>
  <c r="U73" i="37"/>
  <c r="W48" i="37"/>
  <c r="Z129" i="37"/>
  <c r="T49" i="37"/>
  <c r="T50" i="37" s="1"/>
  <c r="T59" i="37" s="1"/>
  <c r="T80" i="37" s="1"/>
  <c r="W130" i="37"/>
  <c r="W58" i="37"/>
  <c r="V74" i="37"/>
  <c r="V52" i="37"/>
  <c r="V47" i="37"/>
  <c r="Y102" i="37"/>
  <c r="X101" i="37"/>
  <c r="X133" i="37"/>
  <c r="X134" i="37" s="1"/>
  <c r="Q85" i="37" l="1"/>
  <c r="V73" i="37"/>
  <c r="U49" i="37"/>
  <c r="U50" i="37" s="1"/>
  <c r="U59" i="37" s="1"/>
  <c r="U80" i="37" s="1"/>
  <c r="X130" i="37"/>
  <c r="X48" i="37"/>
  <c r="AA129" i="37"/>
  <c r="Z102" i="37"/>
  <c r="Y101" i="37"/>
  <c r="W74" i="37"/>
  <c r="W52" i="37"/>
  <c r="W47" i="37"/>
  <c r="X58" i="37"/>
  <c r="Y133" i="37"/>
  <c r="Y48" i="37" l="1"/>
  <c r="AB129" i="37"/>
  <c r="V49" i="37"/>
  <c r="V50" i="37" s="1"/>
  <c r="V59" i="37" s="1"/>
  <c r="V80" i="37" s="1"/>
  <c r="Y130" i="37"/>
  <c r="AA102" i="37"/>
  <c r="Z101" i="37"/>
  <c r="Z133" i="37"/>
  <c r="Z134" i="37" s="1"/>
  <c r="Y134" i="37"/>
  <c r="X74" i="37"/>
  <c r="Y58" i="37"/>
  <c r="X52" i="37"/>
  <c r="X47" i="37"/>
  <c r="S85" i="37" l="1"/>
  <c r="X73" i="37"/>
  <c r="W49" i="37"/>
  <c r="W50" i="37" s="1"/>
  <c r="W59" i="37" s="1"/>
  <c r="W80" i="37" s="1"/>
  <c r="Z130" i="37"/>
  <c r="Z48" i="37"/>
  <c r="AC129" i="37"/>
  <c r="R85" i="37"/>
  <c r="W73" i="37"/>
  <c r="AA101" i="37"/>
  <c r="AB102" i="37"/>
  <c r="AA133" i="37"/>
  <c r="AA134" i="37" s="1"/>
  <c r="Z58" i="37"/>
  <c r="Y74" i="37"/>
  <c r="Y52" i="37"/>
  <c r="Y47" i="37"/>
  <c r="T85" i="37" l="1"/>
  <c r="Y73" i="37"/>
  <c r="AA48" i="37"/>
  <c r="AD129" i="37"/>
  <c r="X49" i="37"/>
  <c r="X50" i="37" s="1"/>
  <c r="X59" i="37" s="1"/>
  <c r="X80" i="37" s="1"/>
  <c r="AA130" i="37"/>
  <c r="AC102" i="37"/>
  <c r="AB101" i="37"/>
  <c r="AB133" i="37"/>
  <c r="AA58" i="37"/>
  <c r="Z74" i="37"/>
  <c r="Z47" i="37"/>
  <c r="Z52" i="37"/>
  <c r="Y49" i="37" l="1"/>
  <c r="Y50" i="37" s="1"/>
  <c r="Y59" i="37" s="1"/>
  <c r="AB130" i="37"/>
  <c r="AB48" i="37"/>
  <c r="AE129" i="37"/>
  <c r="Y80" i="37"/>
  <c r="AA74" i="37"/>
  <c r="AB58" i="37"/>
  <c r="AA52" i="37"/>
  <c r="AA47" i="37"/>
  <c r="AC133" i="37"/>
  <c r="AC134" i="37" s="1"/>
  <c r="AB134" i="37"/>
  <c r="AD102" i="37"/>
  <c r="AC101" i="37"/>
  <c r="U85" i="37" l="1"/>
  <c r="Z73" i="37"/>
  <c r="AC48" i="37"/>
  <c r="AF129" i="37"/>
  <c r="Z49" i="37"/>
  <c r="Z50" i="37" s="1"/>
  <c r="Z59" i="37" s="1"/>
  <c r="Z80" i="37" s="1"/>
  <c r="AC130" i="37"/>
  <c r="V85" i="37"/>
  <c r="AA73" i="37"/>
  <c r="AE102" i="37"/>
  <c r="AD101" i="37"/>
  <c r="AD133" i="37"/>
  <c r="AB74" i="37"/>
  <c r="AC58" i="37"/>
  <c r="AB52" i="37"/>
  <c r="AB47" i="37"/>
  <c r="AA49" i="37" l="1"/>
  <c r="AA50" i="37" s="1"/>
  <c r="AA59" i="37" s="1"/>
  <c r="AA80" i="37" s="1"/>
  <c r="AD130" i="37"/>
  <c r="AD48" i="37"/>
  <c r="AG129" i="37"/>
  <c r="AE101" i="37"/>
  <c r="AF102" i="37"/>
  <c r="AE133" i="37"/>
  <c r="AE134" i="37" s="1"/>
  <c r="AD134" i="37"/>
  <c r="AD58" i="37"/>
  <c r="AC74" i="37"/>
  <c r="AC52" i="37"/>
  <c r="AC47" i="37"/>
  <c r="X85" i="37" l="1"/>
  <c r="AC73" i="37"/>
  <c r="AE48" i="37"/>
  <c r="AH129" i="37"/>
  <c r="AB49" i="37"/>
  <c r="AB50" i="37" s="1"/>
  <c r="AB59" i="37" s="1"/>
  <c r="AB80" i="37" s="1"/>
  <c r="AE130" i="37"/>
  <c r="W85" i="37"/>
  <c r="AB73" i="37"/>
  <c r="AF133" i="37"/>
  <c r="AF134" i="37" s="1"/>
  <c r="AE58" i="37"/>
  <c r="AD52" i="37"/>
  <c r="AD74" i="37"/>
  <c r="AD47" i="37"/>
  <c r="AG102" i="37"/>
  <c r="AF101" i="37"/>
  <c r="Y85" i="37" l="1"/>
  <c r="AD73" i="37"/>
  <c r="AC49" i="37"/>
  <c r="AC50" i="37" s="1"/>
  <c r="AC59" i="37" s="1"/>
  <c r="AC80" i="37" s="1"/>
  <c r="AF130" i="37"/>
  <c r="AF48" i="37"/>
  <c r="AI129" i="37"/>
  <c r="AE74" i="37"/>
  <c r="AF58" i="37"/>
  <c r="AE52" i="37"/>
  <c r="AE47" i="37"/>
  <c r="AG133" i="37"/>
  <c r="AH102" i="37"/>
  <c r="AG101" i="37"/>
  <c r="AG48" i="37" l="1"/>
  <c r="AJ129" i="37"/>
  <c r="AD49" i="37"/>
  <c r="AD50" i="37" s="1"/>
  <c r="AD59" i="37" s="1"/>
  <c r="AD80" i="37" s="1"/>
  <c r="AG130" i="37"/>
  <c r="AH133" i="37"/>
  <c r="AH134" i="37" s="1"/>
  <c r="AF74" i="37"/>
  <c r="AG58" i="37"/>
  <c r="AF52" i="37"/>
  <c r="AF47" i="37"/>
  <c r="AI102" i="37"/>
  <c r="AH101" i="37"/>
  <c r="AG134" i="37"/>
  <c r="AA85" i="37" l="1"/>
  <c r="AF73" i="37"/>
  <c r="AE49" i="37"/>
  <c r="AE50" i="37" s="1"/>
  <c r="AE59" i="37" s="1"/>
  <c r="AE80" i="37" s="1"/>
  <c r="AH130" i="37"/>
  <c r="AH48" i="37"/>
  <c r="AK129" i="37"/>
  <c r="Z85" i="37"/>
  <c r="AE73" i="37"/>
  <c r="AI133" i="37"/>
  <c r="AI134" i="37" s="1"/>
  <c r="AI101" i="37"/>
  <c r="AJ102" i="37"/>
  <c r="AH58" i="37"/>
  <c r="AG74" i="37"/>
  <c r="AG52" i="37"/>
  <c r="AG47" i="37"/>
  <c r="AI48" i="37" l="1"/>
  <c r="AL129" i="37"/>
  <c r="AB85" i="37"/>
  <c r="AG73" i="37"/>
  <c r="AF49" i="37"/>
  <c r="AF50" i="37" s="1"/>
  <c r="AF59" i="37" s="1"/>
  <c r="AF80" i="37" s="1"/>
  <c r="AI130" i="37"/>
  <c r="AI58" i="37"/>
  <c r="AH74" i="37"/>
  <c r="AH47" i="37"/>
  <c r="AH52" i="37"/>
  <c r="AJ133" i="37"/>
  <c r="AJ134" i="37" s="1"/>
  <c r="AK102" i="37"/>
  <c r="AJ101" i="37"/>
  <c r="AM129" i="37" l="1"/>
  <c r="AK48" i="37" s="1"/>
  <c r="AJ48" i="37"/>
  <c r="AC85" i="37"/>
  <c r="AH73" i="37"/>
  <c r="AG49" i="37"/>
  <c r="AG50" i="37" s="1"/>
  <c r="AG59" i="37" s="1"/>
  <c r="AG80" i="37" s="1"/>
  <c r="AJ130" i="37"/>
  <c r="AK133" i="37"/>
  <c r="AI74" i="37"/>
  <c r="AJ58" i="37"/>
  <c r="AI52" i="37"/>
  <c r="AI47" i="37"/>
  <c r="AK101" i="37"/>
  <c r="AK134" i="37" l="1"/>
  <c r="AI73" i="37" s="1"/>
  <c r="AL133" i="37"/>
  <c r="AD85" i="37"/>
  <c r="AH49" i="37"/>
  <c r="AH50" i="37" s="1"/>
  <c r="AH59" i="37" s="1"/>
  <c r="AH80" i="37" s="1"/>
  <c r="AK130" i="37"/>
  <c r="AE85" i="37"/>
  <c r="AJ74" i="37"/>
  <c r="AK58" i="37"/>
  <c r="AJ52" i="37"/>
  <c r="AJ47" i="37"/>
  <c r="AI49" i="37" l="1"/>
  <c r="AI50" i="37" s="1"/>
  <c r="AI59" i="37" s="1"/>
  <c r="AI80" i="37" s="1"/>
  <c r="AL130" i="37"/>
  <c r="AM133" i="37"/>
  <c r="AM134" i="37" s="1"/>
  <c r="AK73" i="37" s="1"/>
  <c r="AL134" i="37"/>
  <c r="AJ73" i="37" s="1"/>
  <c r="AK74" i="37"/>
  <c r="AK52" i="37"/>
  <c r="AK47" i="37"/>
  <c r="AF85" i="37"/>
  <c r="AM130" i="37" l="1"/>
  <c r="AK49" i="37" s="1"/>
  <c r="AJ49" i="37"/>
  <c r="AJ50" i="37" s="1"/>
  <c r="AJ59" i="37" s="1"/>
  <c r="AJ80" i="37" s="1"/>
  <c r="AK50" i="37"/>
  <c r="AK59" i="37" s="1"/>
  <c r="AG85" i="37"/>
  <c r="AK80" i="37" l="1"/>
  <c r="AH85" i="37"/>
  <c r="AI85" i="37" l="1"/>
  <c r="AK85" i="37" l="1"/>
  <c r="AJ85" i="37"/>
  <c r="B54" i="37" l="1"/>
  <c r="C61" i="37"/>
  <c r="D61" i="37"/>
  <c r="D60" i="37" s="1"/>
  <c r="D66" i="37" s="1"/>
  <c r="E61" i="37"/>
  <c r="E60" i="37" s="1"/>
  <c r="E66" i="37" s="1"/>
  <c r="F61" i="37"/>
  <c r="F60" i="37" s="1"/>
  <c r="F66" i="37" s="1"/>
  <c r="G61" i="37"/>
  <c r="G60" i="37" s="1"/>
  <c r="G66" i="37" s="1"/>
  <c r="H61" i="37"/>
  <c r="H60" i="37" s="1"/>
  <c r="H66" i="37" s="1"/>
  <c r="I61" i="37"/>
  <c r="I60" i="37" s="1"/>
  <c r="I66" i="37" s="1"/>
  <c r="J61" i="37"/>
  <c r="J60" i="37" s="1"/>
  <c r="J66" i="37" s="1"/>
  <c r="K61" i="37"/>
  <c r="K60" i="37" s="1"/>
  <c r="K66" i="37" s="1"/>
  <c r="L61" i="37"/>
  <c r="L60" i="37" s="1"/>
  <c r="L66" i="37" s="1"/>
  <c r="M61" i="37"/>
  <c r="M60" i="37" s="1"/>
  <c r="M66" i="37" s="1"/>
  <c r="N61" i="37"/>
  <c r="N60" i="37" s="1"/>
  <c r="N66" i="37" s="1"/>
  <c r="O61" i="37"/>
  <c r="O60" i="37" s="1"/>
  <c r="O66" i="37" s="1"/>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AG61" i="37"/>
  <c r="AG60" i="37" s="1"/>
  <c r="AG66" i="37" s="1"/>
  <c r="AH61" i="37"/>
  <c r="AH60" i="37" s="1"/>
  <c r="AH66" i="37" s="1"/>
  <c r="AI61" i="37"/>
  <c r="AI60" i="37" s="1"/>
  <c r="AI66" i="37" s="1"/>
  <c r="AJ61" i="37"/>
  <c r="AJ60" i="37" s="1"/>
  <c r="AJ66" i="37" s="1"/>
  <c r="AK61" i="37"/>
  <c r="AK60" i="37" s="1"/>
  <c r="AK66" i="37" s="1"/>
  <c r="A14" i="12"/>
  <c r="A15" i="13" s="1"/>
  <c r="E15" i="14" s="1"/>
  <c r="A11" i="12"/>
  <c r="A12" i="13" s="1"/>
  <c r="A8" i="12"/>
  <c r="A9" i="13" s="1"/>
  <c r="E9" i="14" s="1"/>
  <c r="A9" i="6" s="1"/>
  <c r="A8" i="17" s="1"/>
  <c r="A9" i="37" s="1"/>
  <c r="A4" i="12"/>
  <c r="A5" i="13" s="1"/>
  <c r="A5" i="14" s="1"/>
  <c r="A5" i="6" s="1"/>
  <c r="A4" i="17" s="1"/>
  <c r="A5" i="37" s="1"/>
  <c r="E12" i="14"/>
  <c r="A12" i="6" s="1"/>
  <c r="A11" i="17"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37" l="1"/>
  <c r="D79" i="37" s="1"/>
  <c r="E79" i="37" s="1"/>
  <c r="A15" i="6"/>
  <c r="A14" i="17" s="1"/>
  <c r="F68" i="37"/>
  <c r="F75" i="37" s="1"/>
  <c r="C60" i="37"/>
  <c r="C66" i="37" s="1"/>
  <c r="C68" i="37" s="1"/>
  <c r="B55" i="37"/>
  <c r="B56" i="37" s="1"/>
  <c r="B69" i="37" s="1"/>
  <c r="F76" i="37"/>
  <c r="D67" i="37"/>
  <c r="C76" i="37"/>
  <c r="A9" i="24"/>
  <c r="A12" i="24"/>
  <c r="A5" i="24"/>
  <c r="F79" i="37" l="1"/>
  <c r="A4" i="15"/>
  <c r="A5" i="5" s="1"/>
  <c r="A8" i="15"/>
  <c r="A9" i="5" s="1"/>
  <c r="A11" i="15"/>
  <c r="A12" i="5" s="1"/>
  <c r="A15" i="37"/>
  <c r="A15" i="24"/>
  <c r="C53" i="37"/>
  <c r="C55" i="37" s="1"/>
  <c r="C82" i="37" s="1"/>
  <c r="D76" i="37"/>
  <c r="E67" i="37"/>
  <c r="B82" i="37"/>
  <c r="B77" i="37"/>
  <c r="B70" i="37"/>
  <c r="B71" i="37" s="1"/>
  <c r="C75" i="37"/>
  <c r="D68" i="37"/>
  <c r="G79" i="37" l="1"/>
  <c r="H79" i="37" s="1"/>
  <c r="I79" i="37" s="1"/>
  <c r="J79" i="37" s="1"/>
  <c r="K79" i="37" s="1"/>
  <c r="L79" i="37" s="1"/>
  <c r="M79" i="37" s="1"/>
  <c r="N79" i="37" s="1"/>
  <c r="O79" i="37" s="1"/>
  <c r="P79" i="37" s="1"/>
  <c r="Q79" i="37" s="1"/>
  <c r="R79" i="37" s="1"/>
  <c r="S79" i="37" s="1"/>
  <c r="T79" i="37" s="1"/>
  <c r="U79" i="37" s="1"/>
  <c r="V79" i="37" s="1"/>
  <c r="W79" i="37" s="1"/>
  <c r="X79" i="37" s="1"/>
  <c r="Y79" i="37" s="1"/>
  <c r="Z79" i="37" s="1"/>
  <c r="AA79" i="37" s="1"/>
  <c r="AB79" i="37" s="1"/>
  <c r="AC79" i="37" s="1"/>
  <c r="AD79" i="37" s="1"/>
  <c r="AE79" i="37" s="1"/>
  <c r="AF79" i="37" s="1"/>
  <c r="AG79" i="37" s="1"/>
  <c r="AH79" i="37" s="1"/>
  <c r="AI79" i="37" s="1"/>
  <c r="AJ79" i="37" s="1"/>
  <c r="AK79" i="37" s="1"/>
  <c r="A14" i="15"/>
  <c r="A15" i="5" s="1"/>
  <c r="E76" i="37"/>
  <c r="F67" i="37"/>
  <c r="G67" i="37" s="1"/>
  <c r="E68" i="37"/>
  <c r="C56" i="37"/>
  <c r="C69" i="37" s="1"/>
  <c r="D75" i="37"/>
  <c r="B72" i="37"/>
  <c r="B78" i="37"/>
  <c r="D53" i="37"/>
  <c r="D55" i="37" l="1"/>
  <c r="H67" i="37"/>
  <c r="G76" i="37"/>
  <c r="G68" i="37"/>
  <c r="C77" i="37"/>
  <c r="C70" i="37"/>
  <c r="E75" i="37"/>
  <c r="C71" i="37" l="1"/>
  <c r="C72" i="37" s="1"/>
  <c r="E53" i="37"/>
  <c r="D82" i="37"/>
  <c r="D56" i="37"/>
  <c r="D69" i="37" s="1"/>
  <c r="G75" i="37"/>
  <c r="I67" i="37"/>
  <c r="H76" i="37"/>
  <c r="H68" i="37"/>
  <c r="E55" i="37" l="1"/>
  <c r="E56" i="37" s="1"/>
  <c r="E69" i="37" s="1"/>
  <c r="H75" i="37"/>
  <c r="I76" i="37"/>
  <c r="J67" i="37"/>
  <c r="I68" i="37"/>
  <c r="C78" i="37"/>
  <c r="D77" i="37"/>
  <c r="D70" i="37"/>
  <c r="D71" i="37" s="1"/>
  <c r="D72" i="37" s="1"/>
  <c r="J76" i="37" l="1"/>
  <c r="K67" i="37"/>
  <c r="J68" i="37"/>
  <c r="F53" i="37"/>
  <c r="E82" i="37"/>
  <c r="D78" i="37"/>
  <c r="I75" i="37"/>
  <c r="E77" i="37"/>
  <c r="E70" i="37"/>
  <c r="E71" i="37" s="1"/>
  <c r="F55" i="37" l="1"/>
  <c r="F56" i="37" s="1"/>
  <c r="F69" i="37" s="1"/>
  <c r="J75" i="37"/>
  <c r="E72" i="37"/>
  <c r="E78"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G72" i="37" s="1"/>
  <c r="P76" i="37"/>
  <c r="Q67" i="37"/>
  <c r="P68" i="37"/>
  <c r="I53" i="37"/>
  <c r="O75" i="37"/>
  <c r="H70" i="37" l="1"/>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I72" i="37" l="1"/>
  <c r="J56" i="37"/>
  <c r="J69" i="37" s="1"/>
  <c r="J70" i="37" s="1"/>
  <c r="K53" i="37"/>
  <c r="K55" i="37" s="1"/>
  <c r="K56" i="37" s="1"/>
  <c r="K69" i="37" s="1"/>
  <c r="T76" i="37"/>
  <c r="U67" i="37"/>
  <c r="T68" i="37"/>
  <c r="S75" i="37"/>
  <c r="J77" i="37" l="1"/>
  <c r="K77" i="37"/>
  <c r="K70" i="37"/>
  <c r="V67" i="37"/>
  <c r="U76" i="37"/>
  <c r="U68" i="37"/>
  <c r="J71" i="37"/>
  <c r="J78" i="37" s="1"/>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N53" i="37" l="1"/>
  <c r="M56" i="37"/>
  <c r="M69" i="37" s="1"/>
  <c r="M77" i="37" s="1"/>
  <c r="N55" i="37"/>
  <c r="L71" i="37"/>
  <c r="L78" i="37" s="1"/>
  <c r="Y76" i="37"/>
  <c r="Z67" i="37"/>
  <c r="Y68" i="37"/>
  <c r="X75" i="37"/>
  <c r="M70" i="37" l="1"/>
  <c r="M71" i="37" s="1"/>
  <c r="M78" i="37" s="1"/>
  <c r="L72" i="37"/>
  <c r="O53" i="37"/>
  <c r="N82" i="37"/>
  <c r="AA67" i="37"/>
  <c r="Z76" i="37"/>
  <c r="Z68" i="37"/>
  <c r="N56" i="37"/>
  <c r="N69" i="37" s="1"/>
  <c r="Y75" i="37"/>
  <c r="M72" i="37" l="1"/>
  <c r="N77" i="37"/>
  <c r="N70" i="37"/>
  <c r="AB67" i="37"/>
  <c r="AA76" i="37"/>
  <c r="AA68" i="37"/>
  <c r="Z75" i="37"/>
  <c r="O55" i="37"/>
  <c r="O82" i="37" s="1"/>
  <c r="O56" i="37" l="1"/>
  <c r="O69" i="37" s="1"/>
  <c r="O70" i="37" s="1"/>
  <c r="P53" i="37"/>
  <c r="P55" i="37" s="1"/>
  <c r="P82" i="37" s="1"/>
  <c r="AB76" i="37"/>
  <c r="AC67" i="37"/>
  <c r="AB68" i="37"/>
  <c r="N71" i="37"/>
  <c r="N78" i="37" s="1"/>
  <c r="O77" i="37"/>
  <c r="AA75" i="37"/>
  <c r="N72" i="37" l="1"/>
  <c r="P56" i="37"/>
  <c r="P69" i="37" s="1"/>
  <c r="P77" i="37" s="1"/>
  <c r="O71" i="37"/>
  <c r="O78" i="37" s="1"/>
  <c r="AB75" i="37"/>
  <c r="Q53" i="37"/>
  <c r="AC76" i="37"/>
  <c r="AD67" i="37"/>
  <c r="AC68" i="37"/>
  <c r="P70" i="37" l="1"/>
  <c r="O72" i="37"/>
  <c r="AD76" i="37"/>
  <c r="AE67" i="37"/>
  <c r="AD68" i="37"/>
  <c r="Q55" i="37"/>
  <c r="Q82" i="37" s="1"/>
  <c r="P71" i="37"/>
  <c r="P78" i="37" s="1"/>
  <c r="AC75" i="37"/>
  <c r="P72" i="37" l="1"/>
  <c r="AD75" i="37"/>
  <c r="Q56" i="37"/>
  <c r="Q69" i="37" s="1"/>
  <c r="AF67" i="37"/>
  <c r="AE76" i="37"/>
  <c r="AE68" i="37"/>
  <c r="R53" i="37"/>
  <c r="AF76" i="37" l="1"/>
  <c r="AG67" i="37"/>
  <c r="AF68" i="37"/>
  <c r="Q77" i="37"/>
  <c r="Q70" i="37"/>
  <c r="R55" i="37"/>
  <c r="R82" i="37" s="1"/>
  <c r="AE75" i="37"/>
  <c r="S53" i="37" l="1"/>
  <c r="R56" i="37"/>
  <c r="R69" i="37" s="1"/>
  <c r="R77" i="37" s="1"/>
  <c r="S55" i="37"/>
  <c r="S82" i="37" s="1"/>
  <c r="AF75" i="37"/>
  <c r="Q71" i="37"/>
  <c r="Q78" i="37" s="1"/>
  <c r="AG76" i="37"/>
  <c r="AH67" i="37"/>
  <c r="AG68" i="37"/>
  <c r="R70" i="37" l="1"/>
  <c r="Q72" i="37"/>
  <c r="R71" i="37"/>
  <c r="R78" i="37" s="1"/>
  <c r="S56" i="37"/>
  <c r="S69" i="37" s="1"/>
  <c r="AG75" i="37"/>
  <c r="AI67" i="37"/>
  <c r="AH76" i="37"/>
  <c r="AH68" i="37"/>
  <c r="T53" i="37"/>
  <c r="R72" i="37" l="1"/>
  <c r="AJ67" i="37"/>
  <c r="AI76" i="37"/>
  <c r="AI68" i="37"/>
  <c r="T55" i="37"/>
  <c r="T82" i="37" s="1"/>
  <c r="AH75" i="37"/>
  <c r="S77" i="37"/>
  <c r="S70" i="37"/>
  <c r="T56" i="37" l="1"/>
  <c r="T69" i="37" s="1"/>
  <c r="T77" i="37" s="1"/>
  <c r="U53" i="37"/>
  <c r="U55" i="37" s="1"/>
  <c r="U82" i="37" s="1"/>
  <c r="AI75" i="37"/>
  <c r="S71" i="37"/>
  <c r="S78" i="37" s="1"/>
  <c r="AJ76" i="37"/>
  <c r="AK67" i="37"/>
  <c r="AJ68" i="37"/>
  <c r="T70" i="37" l="1"/>
  <c r="T71" i="37" s="1"/>
  <c r="T78" i="37" s="1"/>
  <c r="S72" i="37"/>
  <c r="AK76" i="37"/>
  <c r="AK68" i="37"/>
  <c r="V53" i="37"/>
  <c r="AJ75" i="37"/>
  <c r="U56" i="37"/>
  <c r="U69" i="37" s="1"/>
  <c r="AK75" i="37" l="1"/>
  <c r="U77" i="37"/>
  <c r="U70" i="37"/>
  <c r="T72" i="37"/>
  <c r="V55" i="37"/>
  <c r="V56" i="37" s="1"/>
  <c r="V69" i="37" s="1"/>
  <c r="U71" i="37" l="1"/>
  <c r="U78" i="37" s="1"/>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7" i="37" s="1"/>
  <c r="AC53" i="37"/>
  <c r="AC55" i="37" s="1"/>
  <c r="AC82" i="37" s="1"/>
  <c r="AA71" i="37"/>
  <c r="AA78" i="37" s="1"/>
  <c r="AA72" i="37" l="1"/>
  <c r="AB70" i="37"/>
  <c r="AB71" i="37" s="1"/>
  <c r="AB78" i="37" s="1"/>
  <c r="AD53" i="37"/>
  <c r="AC56" i="37"/>
  <c r="AC69" i="37" s="1"/>
  <c r="AB72" i="37" l="1"/>
  <c r="AC77" i="37"/>
  <c r="AC70" i="37"/>
  <c r="AD55" i="37"/>
  <c r="AD56" i="37" s="1"/>
  <c r="AD69" i="37" s="1"/>
  <c r="AD77" i="37" l="1"/>
  <c r="AD70" i="37"/>
  <c r="AE53" i="37"/>
  <c r="AD82" i="37"/>
  <c r="AC71" i="37"/>
  <c r="AC78" i="37" s="1"/>
  <c r="AC72" i="37" l="1"/>
  <c r="AE55" i="37"/>
  <c r="AE56" i="37" s="1"/>
  <c r="AE69" i="37" s="1"/>
  <c r="AD71" i="37"/>
  <c r="AD78" i="37" s="1"/>
  <c r="AD72" i="37" l="1"/>
  <c r="AE77" i="37"/>
  <c r="AE70" i="37"/>
  <c r="AF53" i="37"/>
  <c r="AE82" i="37"/>
  <c r="AF55" i="37" l="1"/>
  <c r="AF82" i="37" s="1"/>
  <c r="AE71" i="37"/>
  <c r="AE78" i="37" s="1"/>
  <c r="AG53" i="37" l="1"/>
  <c r="AG55" i="37" s="1"/>
  <c r="AG56" i="37" s="1"/>
  <c r="AG69" i="37" s="1"/>
  <c r="AF56" i="37"/>
  <c r="AF69" i="37" s="1"/>
  <c r="AF70" i="37" s="1"/>
  <c r="AE72" i="37"/>
  <c r="AF77" i="37" l="1"/>
  <c r="AF71" i="37"/>
  <c r="AF78" i="37" s="1"/>
  <c r="AH53" i="37"/>
  <c r="AG82" i="37"/>
  <c r="AG77" i="37"/>
  <c r="AG70" i="37"/>
  <c r="AF72" i="37" l="1"/>
  <c r="AH55" i="37"/>
  <c r="AH56" i="37" s="1"/>
  <c r="AH69" i="37" s="1"/>
  <c r="AG71" i="37"/>
  <c r="AG78" i="37" s="1"/>
  <c r="AG72" i="37" l="1"/>
  <c r="AH77" i="37"/>
  <c r="AH70" i="37"/>
  <c r="AI53" i="37"/>
  <c r="AH82" i="37"/>
  <c r="AI55" i="37" l="1"/>
  <c r="AI56" i="37" s="1"/>
  <c r="AI69" i="37" s="1"/>
  <c r="AH71" i="37"/>
  <c r="AH78" i="37" s="1"/>
  <c r="AH72" i="37" l="1"/>
  <c r="AI77" i="37"/>
  <c r="AI70" i="37"/>
  <c r="AJ53" i="37"/>
  <c r="AI82" i="37"/>
  <c r="AJ55" i="37" l="1"/>
  <c r="AJ56" i="37" s="1"/>
  <c r="AJ69" i="37" s="1"/>
  <c r="AI71" i="37"/>
  <c r="AI78" i="37" s="1"/>
  <c r="AJ77" i="37" l="1"/>
  <c r="AJ70" i="37"/>
  <c r="AI72" i="37"/>
  <c r="AK53" i="37"/>
  <c r="AJ82" i="37"/>
  <c r="AK55" i="37" l="1"/>
  <c r="AK82" i="37" s="1"/>
  <c r="AJ71" i="37"/>
  <c r="AJ78" i="37" s="1"/>
  <c r="AJ72" i="37" l="1"/>
  <c r="AK56" i="37"/>
  <c r="AK69" i="37" s="1"/>
  <c r="AK77" i="37" s="1"/>
  <c r="AK70" i="37" l="1"/>
  <c r="AK71" i="37" s="1"/>
  <c r="AK78" i="37" s="1"/>
  <c r="AK72" i="37" l="1"/>
  <c r="B83" i="37" l="1"/>
  <c r="B86" i="37" l="1"/>
  <c r="B88" i="37"/>
  <c r="B84" i="37"/>
  <c r="B89" i="37" s="1"/>
  <c r="B87" i="37" l="1"/>
  <c r="B90" i="37" s="1"/>
  <c r="C83" i="37"/>
  <c r="D83" i="37" l="1"/>
  <c r="D86" i="37" s="1"/>
  <c r="C86" i="37"/>
  <c r="C84" i="37"/>
  <c r="C89" i="37" s="1"/>
  <c r="C88" i="37"/>
  <c r="D84" i="37" l="1"/>
  <c r="D89" i="37" s="1"/>
  <c r="D88" i="37"/>
  <c r="E83" i="37"/>
  <c r="C87" i="37"/>
  <c r="C90" i="37" s="1"/>
  <c r="D87" i="37"/>
  <c r="F83" i="37" l="1"/>
  <c r="F88" i="37" s="1"/>
  <c r="D90" i="37"/>
  <c r="E86" i="37"/>
  <c r="E84" i="37"/>
  <c r="E89" i="37" s="1"/>
  <c r="E88" i="37"/>
  <c r="H83" i="37" l="1"/>
  <c r="H86" i="37" s="1"/>
  <c r="I83" i="37"/>
  <c r="I86" i="37" s="1"/>
  <c r="E87" i="37"/>
  <c r="E90" i="37" s="1"/>
  <c r="F86" i="37"/>
  <c r="F87" i="37" s="1"/>
  <c r="F84" i="37"/>
  <c r="F89" i="37" s="1"/>
  <c r="G83" i="37"/>
  <c r="F90" i="37" l="1"/>
  <c r="K83" i="37"/>
  <c r="K86" i="37" s="1"/>
  <c r="G86" i="37"/>
  <c r="H87" i="37" s="1"/>
  <c r="H84" i="37"/>
  <c r="H88" i="37"/>
  <c r="I84" i="37"/>
  <c r="G84" i="37"/>
  <c r="G89" i="37" s="1"/>
  <c r="G88" i="37"/>
  <c r="I88" i="37"/>
  <c r="L83" i="37" l="1"/>
  <c r="L86" i="37" s="1"/>
  <c r="J83" i="37"/>
  <c r="I89" i="37"/>
  <c r="K84" i="37"/>
  <c r="G87" i="37"/>
  <c r="G90" i="37" s="1"/>
  <c r="I87" i="37"/>
  <c r="I90" i="37" s="1"/>
  <c r="H89" i="37"/>
  <c r="L88" i="37" l="1"/>
  <c r="J88" i="37"/>
  <c r="J84" i="37"/>
  <c r="J89" i="37" s="1"/>
  <c r="L84" i="37"/>
  <c r="L89" i="37" s="1"/>
  <c r="J86" i="37"/>
  <c r="J87" i="37" s="1"/>
  <c r="J90" i="37" s="1"/>
  <c r="K88" i="37"/>
  <c r="K89" i="37"/>
  <c r="H90" i="37"/>
  <c r="L87" i="37" l="1"/>
  <c r="G30" i="37" s="1"/>
  <c r="K87" i="37"/>
  <c r="K90" i="37" s="1"/>
  <c r="M83" i="37"/>
  <c r="G28" i="37"/>
  <c r="L90" i="37" l="1"/>
  <c r="G29" i="37" s="1"/>
  <c r="N83" i="37"/>
  <c r="M84" i="37"/>
  <c r="M89" i="37" s="1"/>
  <c r="M86" i="37"/>
  <c r="M87" i="37" s="1"/>
  <c r="M90" i="37" s="1"/>
  <c r="M88" i="37"/>
  <c r="N84" i="37" l="1"/>
  <c r="N89" i="37" s="1"/>
  <c r="N86" i="37"/>
  <c r="N87" i="37" s="1"/>
  <c r="N90" i="37" s="1"/>
  <c r="N88" i="37"/>
  <c r="P83" i="37"/>
  <c r="P86" i="37" s="1"/>
  <c r="O83" i="37"/>
  <c r="P84" i="37" l="1"/>
  <c r="Q83" i="37"/>
  <c r="Q88" i="37" s="1"/>
  <c r="P88" i="37"/>
  <c r="O88" i="37"/>
  <c r="O84" i="37"/>
  <c r="O89" i="37" s="1"/>
  <c r="O86" i="37"/>
  <c r="O87" i="37" s="1"/>
  <c r="O90" i="37" s="1"/>
  <c r="P87" i="37" l="1"/>
  <c r="P90" i="37" s="1"/>
  <c r="Q84" i="37"/>
  <c r="Q89" i="37" s="1"/>
  <c r="R83" i="37"/>
  <c r="R86" i="37" s="1"/>
  <c r="Q86" i="37"/>
  <c r="Q87" i="37" s="1"/>
  <c r="P89" i="37"/>
  <c r="R87" i="37" l="1"/>
  <c r="R90" i="37" s="1"/>
  <c r="R84" i="37"/>
  <c r="R89" i="37" s="1"/>
  <c r="R88" i="37"/>
  <c r="Q90" i="37"/>
  <c r="S83" i="37" l="1"/>
  <c r="T83" i="37" l="1"/>
  <c r="S84" i="37"/>
  <c r="S89" i="37" s="1"/>
  <c r="S86" i="37"/>
  <c r="S87" i="37" s="1"/>
  <c r="S90" i="37" s="1"/>
  <c r="S88" i="37"/>
  <c r="U83" i="37" l="1"/>
  <c r="V83" i="37"/>
  <c r="T86" i="37"/>
  <c r="T87" i="37" s="1"/>
  <c r="T90" i="37" s="1"/>
  <c r="T88" i="37"/>
  <c r="T84" i="37"/>
  <c r="T89" i="37" s="1"/>
  <c r="V84" i="37" l="1"/>
  <c r="V88" i="37"/>
  <c r="V86" i="37"/>
  <c r="W83" i="37"/>
  <c r="W86" i="37" s="1"/>
  <c r="U86" i="37"/>
  <c r="U87" i="37" s="1"/>
  <c r="U90" i="37" s="1"/>
  <c r="U84" i="37"/>
  <c r="U89" i="37" s="1"/>
  <c r="U88" i="37"/>
  <c r="W84" i="37"/>
  <c r="W89" i="37" s="1"/>
  <c r="W87" i="37" l="1"/>
  <c r="V87" i="37"/>
  <c r="V90" i="37" s="1"/>
  <c r="X83" i="37"/>
  <c r="X84" i="37" s="1"/>
  <c r="X89" i="37" s="1"/>
  <c r="W88" i="37"/>
  <c r="V89" i="37"/>
  <c r="Y83" i="37"/>
  <c r="X86" i="37"/>
  <c r="X87" i="37" s="1"/>
  <c r="X88" i="37"/>
  <c r="X90" i="37" l="1"/>
  <c r="W90" i="37"/>
  <c r="Z83" i="37"/>
  <c r="Y86" i="37"/>
  <c r="Y87" i="37" s="1"/>
  <c r="Y90" i="37" s="1"/>
  <c r="Y88" i="37"/>
  <c r="Y84" i="37"/>
  <c r="Y89" i="37" s="1"/>
  <c r="AA83" i="37" l="1"/>
  <c r="Z86" i="37"/>
  <c r="Z87" i="37" s="1"/>
  <c r="Z90" i="37" s="1"/>
  <c r="Z84" i="37"/>
  <c r="Z89" i="37" s="1"/>
  <c r="Z88" i="37"/>
  <c r="AB83" i="37" l="1"/>
  <c r="AA86" i="37"/>
  <c r="AA87" i="37" s="1"/>
  <c r="AA90" i="37" s="1"/>
  <c r="AA88" i="37"/>
  <c r="AA84" i="37"/>
  <c r="AA89" i="37" s="1"/>
  <c r="AC83" i="37" l="1"/>
  <c r="AB86" i="37"/>
  <c r="AB87" i="37" s="1"/>
  <c r="AB90" i="37" s="1"/>
  <c r="AB84" i="37"/>
  <c r="AB89" i="37" s="1"/>
  <c r="AB88" i="37"/>
  <c r="AD83" i="37" l="1"/>
  <c r="AC86" i="37"/>
  <c r="AC87" i="37" s="1"/>
  <c r="AC90" i="37" s="1"/>
  <c r="AC88" i="37"/>
  <c r="AC84" i="37"/>
  <c r="AC89" i="37" s="1"/>
  <c r="AE83" i="37" l="1"/>
  <c r="AD86" i="37"/>
  <c r="AD87" i="37" s="1"/>
  <c r="AD90" i="37" s="1"/>
  <c r="AD88" i="37"/>
  <c r="AD84" i="37"/>
  <c r="AD89" i="37" s="1"/>
  <c r="AF83" i="37" l="1"/>
  <c r="AE86" i="37"/>
  <c r="AE87" i="37" s="1"/>
  <c r="AE90" i="37" s="1"/>
  <c r="AE88" i="37"/>
  <c r="AE84" i="37"/>
  <c r="AE89" i="37" s="1"/>
  <c r="AG83" i="37" l="1"/>
  <c r="AF86" i="37"/>
  <c r="AF87" i="37" s="1"/>
  <c r="AF90" i="37" s="1"/>
  <c r="AF84" i="37"/>
  <c r="AF89" i="37" s="1"/>
  <c r="AF88" i="37"/>
  <c r="AH83" i="37" l="1"/>
  <c r="AG86" i="37"/>
  <c r="AG87" i="37" s="1"/>
  <c r="AG90" i="37" s="1"/>
  <c r="AG88" i="37"/>
  <c r="AG84" i="37"/>
  <c r="AG89" i="37" s="1"/>
  <c r="AI83" i="37" l="1"/>
  <c r="AH86" i="37"/>
  <c r="AH87" i="37" s="1"/>
  <c r="AH90" i="37" s="1"/>
  <c r="AH84" i="37"/>
  <c r="AH89" i="37" s="1"/>
  <c r="AH88" i="37"/>
  <c r="AJ83" i="37" l="1"/>
  <c r="AI86" i="37"/>
  <c r="AI87" i="37" s="1"/>
  <c r="AI90" i="37" s="1"/>
  <c r="AI88" i="37"/>
  <c r="AI84" i="37"/>
  <c r="AI89" i="37" s="1"/>
  <c r="AK83" i="37" l="1"/>
  <c r="AJ86" i="37"/>
  <c r="AJ87" i="37" s="1"/>
  <c r="AJ90" i="37" s="1"/>
  <c r="AJ84" i="37"/>
  <c r="AJ89" i="37" s="1"/>
  <c r="AJ88" i="37"/>
  <c r="AK86" i="37" l="1"/>
  <c r="AK87" i="37" s="1"/>
  <c r="AK90" i="37" s="1"/>
  <c r="AK84" i="37"/>
  <c r="AK89" i="37" s="1"/>
  <c r="AK88" i="37"/>
</calcChain>
</file>

<file path=xl/sharedStrings.xml><?xml version="1.0" encoding="utf-8"?>
<sst xmlns="http://schemas.openxmlformats.org/spreadsheetml/2006/main" count="955" uniqueCount="563">
  <si>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</si>
  <si>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</si>
  <si>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</si>
  <si>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</si>
  <si>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</si>
  <si>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</si>
  <si>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</si>
  <si>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</si>
  <si>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</si>
  <si>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</si>
  <si>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</si>
  <si>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</si>
  <si>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</si>
  <si>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</si>
  <si>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</si>
  <si>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</si>
  <si>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</si>
  <si>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</si>
  <si>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</si>
  <si>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</si>
  <si>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</si>
  <si>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</si>
  <si>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</si>
  <si>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</si>
  <si>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</si>
  <si>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</si>
  <si>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</si>
  <si>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</si>
  <si>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</si>
  <si>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</si>
  <si>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</si>
  <si>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</si>
  <si>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</si>
  <si>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</si>
  <si>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</si>
  <si>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</si>
  <si>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</si>
  <si>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</si>
  <si>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</si>
  <si>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</si>
  <si>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</si>
  <si>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</si>
  <si>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</si>
  <si>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</si>
  <si>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</si>
  <si>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</si>
  <si>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</si>
  <si>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</si>
  <si>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</si>
  <si>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</si>
  <si>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</si>
  <si>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</si>
  <si>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</si>
  <si>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</si>
  <si>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</si>
  <si>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</si>
  <si>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</si>
  <si>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</si>
  <si>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</si>
  <si>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</si>
  <si>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</si>
  <si>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</si>
  <si>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</si>
  <si>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</si>
  <si>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</si>
  <si>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</si>
  <si>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</si>
  <si>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</si>
  <si>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</si>
  <si>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</si>
  <si>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</si>
  <si>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</si>
  <si>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</si>
  <si>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</si>
  <si>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</si>
  <si>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</si>
  <si>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</si>
  <si>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</si>
  <si>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</si>
  <si>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</si>
  <si>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</si>
  <si>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</si>
  <si>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</si>
  <si>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</si>
  <si>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</si>
  <si>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</si>
  <si>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</si>
  <si>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</si>
  <si>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</si>
  <si>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</si>
  <si>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</si>
  <si>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</si>
  <si>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</si>
  <si>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</si>
  <si>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</si>
  <si>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</si>
  <si>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</si>
  <si>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</si>
  <si>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</si>
  <si>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</si>
  <si>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</si>
  <si>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</si>
  <si>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</si>
  <si>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</si>
  <si>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</si>
  <si>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</si>
  <si>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</si>
  <si>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</si>
  <si>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</si>
  <si>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</si>
  <si>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</si>
  <si>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</si>
  <si>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</si>
  <si>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</si>
  <si>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</si>
  <si>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</si>
  <si>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</si>
  <si>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</si>
  <si>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</si>
  <si>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</si>
  <si>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</si>
  <si>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</si>
  <si>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</si>
  <si>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</si>
  <si>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</si>
  <si>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</si>
  <si>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</si>
  <si>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</si>
  <si>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</si>
  <si>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</si>
  <si>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</si>
  <si>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</si>
  <si>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</si>
  <si>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</si>
  <si>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</si>
  <si>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</si>
  <si>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</si>
  <si>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</si>
  <si>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</si>
  <si>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</si>
  <si>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</si>
  <si>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</si>
  <si>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</si>
  <si>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</si>
  <si>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</si>
  <si>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</si>
  <si>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</si>
  <si>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</si>
  <si>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</si>
  <si>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</si>
  <si>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</si>
  <si>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</si>
  <si>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</si>
  <si>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</si>
  <si>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</si>
  <si>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</si>
  <si>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</si>
  <si>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</si>
  <si>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</si>
  <si>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</si>
  <si>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</si>
  <si>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</si>
  <si>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</si>
  <si>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</si>
  <si>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</si>
  <si>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</si>
  <si>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</si>
  <si>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</si>
  <si>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</si>
  <si>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</si>
  <si>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</si>
  <si>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</si>
  <si>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</si>
  <si>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</si>
  <si>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</si>
  <si>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</si>
  <si>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</si>
  <si>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</si>
  <si>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</si>
  <si>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</si>
  <si>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</si>
  <si>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</si>
  <si>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</si>
  <si>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</si>
  <si>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</si>
  <si>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</si>
  <si>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</si>
  <si>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</si>
  <si>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</si>
  <si>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</si>
  <si>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</si>
  <si>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</si>
  <si>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</si>
  <si>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</si>
  <si>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</si>
  <si>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</si>
  <si>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</si>
  <si>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</si>
  <si>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</si>
  <si>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</si>
  <si>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</si>
  <si>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</si>
  <si>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</si>
  <si>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</si>
  <si>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</si>
  <si>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</si>
  <si>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</si>
  <si>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</si>
  <si>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</si>
  <si>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</si>
  <si>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</si>
  <si>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</si>
  <si>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</si>
  <si>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</si>
  <si>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</si>
  <si>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</si>
  <si>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</si>
  <si>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</si>
  <si>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</si>
  <si>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</si>
  <si>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</si>
  <si>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</si>
  <si>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</si>
  <si>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</si>
  <si>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</si>
  <si>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</si>
  <si>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</si>
  <si>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</si>
  <si>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</si>
  <si>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</si>
  <si>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</si>
  <si>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</si>
  <si>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</si>
  <si>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</si>
  <si>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</si>
  <si>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</si>
  <si>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</si>
  <si>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</si>
  <si>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</si>
  <si>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</si>
  <si>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</si>
  <si>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</si>
  <si>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</si>
  <si>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</si>
  <si>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</si>
  <si>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</si>
  <si>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</si>
  <si>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</si>
  <si>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</si>
  <si>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</si>
  <si>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</si>
  <si>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</si>
  <si>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</si>
  <si>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</si>
  <si>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</si>
  <si>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</si>
  <si>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</si>
  <si>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</si>
  <si>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</si>
  <si>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</si>
  <si>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</si>
  <si>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</si>
  <si>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</si>
  <si>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</si>
  <si>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</si>
  <si>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</si>
  <si>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</si>
  <si>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</si>
  <si>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</si>
  <si>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</si>
  <si>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</si>
  <si>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</si>
  <si>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</si>
  <si>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</si>
  <si>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</si>
  <si>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</si>
  <si>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</si>
  <si>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</si>
  <si>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</si>
  <si>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</si>
  <si>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</si>
  <si>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</si>
  <si>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</si>
  <si>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</si>
  <si>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</si>
  <si>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</si>
  <si>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</si>
  <si>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</si>
  <si>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</si>
  <si>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</si>
  <si>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</si>
  <si>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</si>
  <si>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</si>
  <si>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</si>
  <si>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</si>
  <si>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</si>
  <si>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</si>
  <si>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</si>
  <si>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</si>
  <si>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</si>
  <si>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</si>
  <si>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</si>
  <si>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</si>
  <si>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</si>
  <si>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</si>
  <si>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</si>
  <si>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</si>
  <si>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</si>
  <si>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</si>
  <si>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</si>
  <si>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</si>
  <si>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</si>
  <si>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</si>
  <si>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</si>
  <si>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</si>
  <si>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</si>
  <si>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</si>
  <si>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</si>
  <si>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</si>
  <si>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</si>
  <si>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</si>
  <si>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</si>
  <si>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</si>
  <si>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</si>
  <si>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</si>
  <si>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</si>
  <si>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</si>
  <si>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</si>
  <si>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</si>
  <si>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</si>
  <si>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</si>
  <si>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</si>
  <si>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</si>
  <si>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</si>
  <si>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</si>
  <si>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</si>
  <si>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</si>
  <si>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</si>
  <si>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</si>
  <si>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</si>
  <si>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</si>
  <si>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</si>
  <si>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</si>
  <si>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</si>
  <si>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</si>
  <si>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</si>
  <si>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</si>
  <si>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</si>
  <si>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</si>
  <si>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</si>
  <si>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</si>
  <si>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</si>
  <si>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</si>
  <si>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</si>
  <si>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</si>
  <si>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</si>
  <si>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</si>
  <si>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</si>
  <si>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</si>
  <si>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</si>
  <si>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</si>
  <si>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</si>
  <si>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</si>
  <si>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</si>
  <si>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</si>
  <si>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</si>
  <si>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</si>
  <si>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</si>
  <si>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</si>
  <si>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</si>
  <si>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</si>
  <si>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</si>
  <si>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</si>
  <si>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</si>
  <si>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</si>
  <si>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</si>
  <si>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</si>
  <si>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</si>
  <si>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</si>
  <si>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</si>
  <si>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</si>
  <si>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</si>
  <si>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</si>
  <si>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</si>
  <si>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</si>
  <si>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</si>
  <si>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</si>
  <si>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</si>
  <si>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</si>
  <si>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</si>
  <si>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</si>
  <si>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</si>
  <si>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</si>
  <si>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</si>
  <si>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</si>
  <si>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</si>
  <si>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</si>
  <si>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</si>
  <si>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</si>
  <si>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</si>
  <si>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</si>
  <si>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</si>
  <si>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</si>
  <si>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</si>
  <si>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</si>
  <si>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</si>
  <si>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</si>
  <si>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</si>
  <si>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МВА</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</si>
  <si>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</si>
  <si>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</si>
  <si>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</si>
  <si>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</si>
  <si>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да</t>
  </si>
  <si>
    <t xml:space="preserve">не требуется </t>
  </si>
  <si>
    <t>не требуется</t>
  </si>
  <si>
    <t>П</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</si>
  <si>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</si>
  <si>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</si>
  <si>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</si>
  <si>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</si>
  <si>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</si>
  <si>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</si>
  <si>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</si>
  <si>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</si>
  <si>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</si>
  <si>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</si>
  <si>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</si>
  <si>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</si>
  <si>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</si>
  <si>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</si>
  <si>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</si>
  <si>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</si>
  <si>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</si>
  <si>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</si>
  <si>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</si>
  <si>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</si>
  <si>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</si>
  <si>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</si>
  <si>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</si>
  <si>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</si>
  <si>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</si>
  <si>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</si>
  <si>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</si>
  <si>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</si>
  <si>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</si>
  <si>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</si>
  <si>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</si>
  <si>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</si>
  <si>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</si>
  <si>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</si>
  <si>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</si>
  <si>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</si>
  <si>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</si>
  <si>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</si>
  <si>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</si>
  <si>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</si>
  <si>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</si>
  <si>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</si>
  <si>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</si>
  <si>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</si>
  <si>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</si>
  <si>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</si>
  <si>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</si>
  <si>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</si>
  <si>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</si>
  <si>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</si>
  <si>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</si>
  <si>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</si>
  <si>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</si>
  <si>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</si>
  <si>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</si>
  <si>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</si>
  <si>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</si>
  <si>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</si>
  <si>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</si>
  <si>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</si>
  <si>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</si>
  <si>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</si>
  <si>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</si>
  <si>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</si>
  <si>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</si>
  <si>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</si>
  <si>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</si>
  <si>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</si>
  <si>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</si>
  <si>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</si>
  <si>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</si>
  <si>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</si>
  <si>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</si>
  <si>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</si>
  <si>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</si>
  <si>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</si>
  <si>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</si>
  <si>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</si>
  <si>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</si>
  <si>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</si>
  <si>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</si>
  <si>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</si>
  <si>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</si>
  <si>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</si>
  <si>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</si>
  <si>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</si>
  <si>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</si>
  <si>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</si>
  <si>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</si>
  <si>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</si>
  <si>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</si>
  <si>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проектирование</t>
  </si>
  <si>
    <t>[юридическое лицо, вид услуг/ подряда, предмет договора, дата заключения/ расторжения и номер договора/ соглашений к договору]</t>
  </si>
  <si>
    <t>ВЛ</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</si>
  <si>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</si>
  <si>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</si>
  <si>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</si>
  <si>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</si>
  <si>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</si>
  <si>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</si>
  <si>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</si>
  <si>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</si>
  <si>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</si>
  <si>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</si>
  <si>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ж/б</t>
  </si>
  <si>
    <t>ВЛ 15-021</t>
  </si>
  <si>
    <t>34586103 0911170900760</t>
  </si>
  <si>
    <t>34586103 1308181131522</t>
  </si>
  <si>
    <t>Гурьевский городской округ</t>
  </si>
  <si>
    <t>КВЛ</t>
  </si>
  <si>
    <t>Акт ТО от 2018 г. ООО "ЭнЭкА"</t>
  </si>
  <si>
    <t>Акт обследования от 21.10.2019</t>
  </si>
  <si>
    <t>Требуется замена участка ВЛ на КЛ.</t>
  </si>
  <si>
    <t>ВЛ 15-21</t>
  </si>
  <si>
    <t>КВЛ 15-21</t>
  </si>
  <si>
    <t>ВЛ 15 кВ ВЛ 15-21 (инв. № 5114657)</t>
  </si>
  <si>
    <t>КВЛ 15 кВ КВЛ 15-21 от опоры № 65 до опоры № 79</t>
  </si>
  <si>
    <t>50, 95</t>
  </si>
  <si>
    <t xml:space="preserve">Повышение надежности оказываемых услуг в сфере электроэнергетики. Повышение индекса технического состояния до 80.
</t>
  </si>
  <si>
    <t>L_16-0257</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</si>
  <si>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</si>
  <si>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L</t>
    </r>
    <r>
      <rPr>
        <vertAlign val="superscript"/>
        <sz val="11"/>
        <rFont val="Calibri"/>
        <family val="2"/>
        <charset val="204"/>
        <scheme val="minor"/>
      </rPr>
      <t>15</t>
    </r>
    <r>
      <rPr>
        <sz val="11"/>
        <rFont val="Calibri"/>
        <family val="2"/>
        <scheme val="minor"/>
      </rPr>
      <t xml:space="preserve">з_ЛЭП=1,7 км;
</t>
    </r>
    <r>
      <rPr>
        <sz val="11"/>
        <rFont val="Calibri"/>
        <family val="2"/>
        <charset val="204"/>
        <scheme val="minor"/>
      </rPr>
      <t>∆Пsaidi=0,000081620, ∆Пsaifi=-0,000013340</t>
    </r>
  </si>
  <si>
    <t xml:space="preserve">Повышение надежности оказываемых услуг в сфере электроэнергетики DПsaidi=0,000081620, DПsaifi=-0,000013340. Повышение индекса технического состояния до 80.
</t>
  </si>
  <si>
    <t>КЛ 15 кВ: 3,25 млн. руб./км.</t>
  </si>
  <si>
    <t>31.04.2023</t>
  </si>
  <si>
    <t>2022 год</t>
  </si>
  <si>
    <t>2023 год</t>
  </si>
  <si>
    <t xml:space="preserve"> по состоянию на 01.01.2020</t>
  </si>
  <si>
    <t xml:space="preserve">
План</t>
  </si>
  <si>
    <t xml:space="preserve"> платы за технологическое присоединение</t>
  </si>
  <si>
    <t>Сметная стоимость проекта в ценах 2023 года с НДС, млн. руб.</t>
  </si>
  <si>
    <t>Укрупненный расчет стоимости с использованием Сборника "Укрупненные нормативы цены строительства. НЦС 81-02-12-2020. Сборник № 12. Наружные электрические сети", утв. приказом Минстроя России № 914/пр от 30.12.2019</t>
  </si>
  <si>
    <t>1,70 (0,00) км</t>
  </si>
  <si>
    <t>Строительство КЛ 15 кВ взамен существующей ВЛ 15 кВ № 15-21 (инв. № 5114657) протяженностью 1,7 км в Гурьевском районе</t>
  </si>
  <si>
    <t>Прочее новое строительство объектов электросетевого хозяйства</t>
  </si>
  <si>
    <t xml:space="preserve"> Строительство КЛ 15 кВ взамен участка ВЛ 15-21 (протяжённость около 1,7 км) со сталеалюминиевым проводом сечением 50 мм2 (марки АС-50), алюминиевым проводом сечения 95 мм2 (марки А-95). Монтаж на опорах №№ 65, 79 отключающих пунктов (разъединителей). 
 </t>
  </si>
  <si>
    <t>новое строительство</t>
  </si>
  <si>
    <t>Акт технического обследования от 21.10.2019 г. - ВЛ 15-21 перегружена, значительно превышен нормативный срок эксплуатации, участок ВЛ проходит по лесному массиву. Расширение просеки с заменой голого провода на СИП не приведет к исключению случаев падения древьев на провода из вне охранной зоны ВЛ (высота деревьев больше ширины просеки ВЛ). Недостаточное сечение токопроводящих жил. Для выбора сечения КЛ выполнен расчет кабеля на термическую стойкость. 
Индекс технического состояния 49,81.
Техническое задание № 5.СЭРС.2019/ЗЭС-20.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</si>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</sst>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 numFmtId="176" formatCode="0.0000000"/>
    <numFmt numFmtId="177" formatCode="_-* #,##0.000000000\ _₽_-;\-* #,##0.000000000\ _₽_-;_-* &quot;-&quot;?????????\ _₽_-;_-@_-"/>
    <numFmt numFmtId="178" formatCode="#,##0.000000000_ ;\-#,##0.000000000\ "/>
    <numFmt numFmtId="179" formatCode="0.000000000"/>
    <numFmt numFmtId="180" formatCode="_-* #,##0.00_р_._-;\-* #,##0.00_р_._-;_-* &quot;-&quot;_р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i/>
      <sz val="12"/>
      <name val="Times New Roman"/>
      <family val="1"/>
      <charset val="204"/>
    </font>
    <font>
      <b/>
      <sz val="11"/>
      <color theme="3"/>
      <name val="Calibri"/>
      <family val="2"/>
      <charset val="204"/>
      <scheme val="minor"/>
    </font>
    <font>
      <vertAlign val="superscript"/>
      <sz val="11"/>
      <name val="Calibri"/>
      <family val="2"/>
      <charset val="204"/>
      <scheme val="minor"/>
    </font>
    <font>
      <sz val="10"/>
      <color rgb="FF000000"/>
      <name val="Calibri"/>
      <family val="2"/>
      <charset val="204"/>
    </font>
    <font>
      <sz val="11"/>
      <name val="Calibri"/>
      <family val="2"/>
      <scheme val="minor"/>
    </font>
    <font>
      <b/>
      <u/>
      <sz val="10"/>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FF"/>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
      <left style="thin">
        <color indexed="64"/>
      </left>
      <right/>
      <top style="thin">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xf numFmtId="0" fontId="72" fillId="0" borderId="0" applyNumberFormat="0" applyFill="0" applyBorder="0" applyAlignment="0" applyProtection="0"/>
    <xf numFmtId="9" fontId="1" fillId="0" borderId="0" applyFont="0" applyFill="0" applyBorder="0" applyAlignment="0" applyProtection="0"/>
  </cellStyleXfs>
  <cellXfs count="5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11" fillId="0" borderId="0" xfId="0" applyFont="1" applyFill="1" applyAlignment="1">
      <alignment horizontal="center" vertical="center"/>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42" fillId="0" borderId="0" xfId="50" applyFont="1" applyFill="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68"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14" fontId="11" fillId="27" borderId="42" xfId="2" applyNumberFormat="1" applyFont="1" applyFill="1" applyBorder="1" applyAlignment="1">
      <alignment horizontal="center" vertical="center" wrapText="1"/>
    </xf>
    <xf numFmtId="0" fontId="11" fillId="0" borderId="42" xfId="2" applyNumberFormat="1" applyFont="1" applyFill="1" applyBorder="1" applyAlignment="1">
      <alignment horizontal="left" vertical="top" wrapText="1"/>
    </xf>
    <xf numFmtId="0" fontId="71"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27" borderId="42" xfId="2" applyFont="1" applyFill="1" applyBorder="1"/>
    <xf numFmtId="14" fontId="11" fillId="27" borderId="42" xfId="2" applyNumberFormat="1" applyFont="1" applyFill="1" applyBorder="1" applyAlignment="1">
      <alignment horizontal="center" vertical="center"/>
    </xf>
    <xf numFmtId="14" fontId="11" fillId="0" borderId="42" xfId="2" applyNumberFormat="1" applyFont="1" applyBorder="1" applyAlignment="1">
      <alignment horizontal="center" vertical="center" wrapText="1"/>
    </xf>
    <xf numFmtId="0" fontId="11" fillId="0" borderId="0" xfId="2" applyFont="1" applyFill="1" applyAlignment="1">
      <alignment vertical="top"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applyAlignment="1">
      <alignment horizontal="left" vertical="center" wrapText="1"/>
    </xf>
    <xf numFmtId="0" fontId="58" fillId="30" borderId="42" xfId="62" applyFont="1" applyFill="1" applyBorder="1" applyAlignment="1">
      <alignment horizontal="center" wrapText="1"/>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0" fontId="11" fillId="0" borderId="42" xfId="2" applyFont="1" applyFill="1" applyBorder="1" applyAlignment="1">
      <alignment horizontal="left" vertical="center"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43" xfId="62" applyFont="1" applyBorder="1" applyAlignment="1">
      <alignment horizontal="center" vertical="center" wrapText="1"/>
    </xf>
    <xf numFmtId="0" fontId="67" fillId="0" borderId="42" xfId="0" applyFont="1" applyBorder="1" applyAlignment="1">
      <alignment horizontal="center" vertical="center" wrapText="1"/>
    </xf>
    <xf numFmtId="0" fontId="67" fillId="0" borderId="42" xfId="0" applyFont="1" applyBorder="1" applyAlignment="1">
      <alignment horizontal="center" vertical="center"/>
    </xf>
    <xf numFmtId="0" fontId="67" fillId="0" borderId="42" xfId="0" applyFont="1" applyBorder="1"/>
    <xf numFmtId="0" fontId="67" fillId="0" borderId="42" xfId="0" applyFont="1" applyFill="1" applyBorder="1" applyAlignment="1">
      <alignment horizontal="center" vertical="center"/>
    </xf>
    <xf numFmtId="0" fontId="67" fillId="0" borderId="42" xfId="0" applyFont="1" applyBorder="1" applyAlignment="1">
      <alignment wrapText="1"/>
    </xf>
    <xf numFmtId="166" fontId="67" fillId="0" borderId="42" xfId="0" applyNumberFormat="1" applyFont="1" applyBorder="1" applyAlignment="1">
      <alignment horizontal="center" vertical="center"/>
    </xf>
    <xf numFmtId="165" fontId="67" fillId="0" borderId="42" xfId="0" applyNumberFormat="1" applyFont="1" applyBorder="1" applyAlignment="1">
      <alignment horizontal="center" vertical="center"/>
    </xf>
    <xf numFmtId="176" fontId="67" fillId="0" borderId="42" xfId="0" applyNumberFormat="1" applyFont="1" applyBorder="1" applyAlignment="1">
      <alignment horizontal="center" vertical="center"/>
    </xf>
    <xf numFmtId="177" fontId="67" fillId="0" borderId="42" xfId="0" applyNumberFormat="1" applyFont="1" applyBorder="1" applyAlignment="1">
      <alignment horizontal="center" vertical="center"/>
    </xf>
    <xf numFmtId="0" fontId="67" fillId="0" borderId="47" xfId="0" applyFont="1" applyFill="1" applyBorder="1" applyAlignment="1">
      <alignment horizontal="center" vertical="center"/>
    </xf>
    <xf numFmtId="43" fontId="67" fillId="0" borderId="42" xfId="0" applyNumberFormat="1" applyFont="1" applyBorder="1"/>
    <xf numFmtId="177" fontId="67" fillId="0" borderId="42" xfId="0" applyNumberFormat="1" applyFont="1" applyBorder="1"/>
    <xf numFmtId="176" fontId="67" fillId="0" borderId="42" xfId="0" applyNumberFormat="1" applyFont="1" applyBorder="1"/>
    <xf numFmtId="178" fontId="67" fillId="0" borderId="42" xfId="0" applyNumberFormat="1" applyFont="1" applyBorder="1"/>
    <xf numFmtId="179" fontId="67" fillId="0" borderId="42" xfId="0" applyNumberFormat="1" applyFont="1" applyBorder="1"/>
    <xf numFmtId="166" fontId="67" fillId="0" borderId="42" xfId="0" applyNumberFormat="1" applyFont="1" applyBorder="1" applyAlignment="1">
      <alignment horizontal="left" vertical="center"/>
    </xf>
    <xf numFmtId="2" fontId="67" fillId="0" borderId="42" xfId="0" applyNumberFormat="1" applyFont="1" applyBorder="1"/>
    <xf numFmtId="165" fontId="67" fillId="0" borderId="42" xfId="0" applyNumberFormat="1" applyFont="1" applyBorder="1" applyAlignment="1">
      <alignment horizontal="right" vertical="center"/>
    </xf>
    <xf numFmtId="0" fontId="67" fillId="0" borderId="42" xfId="0" applyFont="1" applyFill="1" applyBorder="1" applyAlignment="1">
      <alignment wrapText="1"/>
    </xf>
    <xf numFmtId="0" fontId="74" fillId="31" borderId="42" xfId="77" applyFont="1" applyFill="1" applyBorder="1" applyAlignment="1">
      <alignment horizontal="center" vertical="center" wrapText="1"/>
    </xf>
    <xf numFmtId="1" fontId="67" fillId="0" borderId="42" xfId="0" applyNumberFormat="1" applyFont="1" applyBorder="1"/>
    <xf numFmtId="49" fontId="11" fillId="0" borderId="1" xfId="1" applyNumberFormat="1" applyFont="1" applyFill="1" applyBorder="1" applyAlignment="1">
      <alignment vertical="center"/>
    </xf>
    <xf numFmtId="0" fontId="11" fillId="0" borderId="1" xfId="1" applyFont="1" applyFill="1" applyBorder="1" applyAlignment="1">
      <alignment horizontal="left" vertical="center" wrapText="1"/>
    </xf>
    <xf numFmtId="0" fontId="11" fillId="0" borderId="1" xfId="1" applyFont="1" applyFill="1" applyBorder="1" applyAlignment="1">
      <alignment horizontal="center" vertical="center" wrapText="1"/>
    </xf>
    <xf numFmtId="0" fontId="7" fillId="0" borderId="0" xfId="0" applyFont="1" applyAlignment="1">
      <alignment vertical="center" wrapText="1"/>
    </xf>
    <xf numFmtId="0" fontId="7" fillId="0" borderId="42" xfId="1" applyFont="1" applyFill="1" applyBorder="1" applyAlignment="1">
      <alignment horizontal="left" vertical="center" wrapText="1"/>
    </xf>
    <xf numFmtId="49" fontId="11" fillId="0" borderId="43" xfId="1" applyNumberFormat="1" applyFont="1" applyFill="1" applyBorder="1" applyAlignment="1">
      <alignment horizontal="center" vertical="center"/>
    </xf>
    <xf numFmtId="49" fontId="11" fillId="0" borderId="52" xfId="1" applyNumberFormat="1" applyFont="1" applyFill="1" applyBorder="1" applyAlignment="1">
      <alignment horizontal="center" vertical="center"/>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49" fillId="0" borderId="0" xfId="2" applyFont="1" applyFill="1" applyAlignment="1">
      <alignment horizontal="center"/>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11" fillId="0" borderId="42" xfId="1" applyFont="1" applyFill="1" applyBorder="1" applyAlignment="1">
      <alignment horizontal="left" vertical="center" wrapText="1"/>
    </xf>
    <xf numFmtId="0" fontId="75" fillId="0" borderId="42" xfId="1" applyFont="1" applyFill="1" applyBorder="1" applyAlignment="1">
      <alignment horizontal="left" vertical="center" wrapText="1"/>
    </xf>
    <xf numFmtId="0" fontId="3" fillId="0" borderId="0" xfId="1" applyBorder="1" applyAlignment="1">
      <alignment horizontal="left"/>
    </xf>
    <xf numFmtId="0" fontId="3" fillId="0" borderId="0" xfId="1" applyAlignment="1">
      <alignment horizontal="left"/>
    </xf>
    <xf numFmtId="0" fontId="7" fillId="0" borderId="43" xfId="1" applyFont="1" applyBorder="1" applyAlignment="1">
      <alignment horizontal="left" vertical="center" wrapText="1"/>
    </xf>
    <xf numFmtId="180" fontId="45" fillId="0" borderId="42" xfId="0" applyNumberFormat="1" applyFont="1" applyFill="1" applyBorder="1"/>
    <xf numFmtId="0" fontId="39" fillId="0" borderId="42" xfId="1" applyFont="1" applyBorder="1" applyAlignment="1">
      <alignment horizontal="center" vertical="center" wrapText="1"/>
    </xf>
    <xf numFmtId="0" fontId="7"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vertical="center" wrapText="1"/>
    </xf>
    <xf numFmtId="0" fontId="11" fillId="0" borderId="42" xfId="1" applyFont="1" applyBorder="1" applyAlignment="1">
      <alignment vertical="center"/>
    </xf>
    <xf numFmtId="0" fontId="11" fillId="0" borderId="42" xfId="1" applyFont="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2" applyNumberFormat="1" applyFont="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1" fontId="57" fillId="0" borderId="42" xfId="49" applyNumberFormat="1" applyFont="1" applyBorder="1" applyAlignment="1">
      <alignment horizontal="center" vertical="center"/>
    </xf>
    <xf numFmtId="49" fontId="57" fillId="0" borderId="42" xfId="49" applyNumberFormat="1" applyFont="1" applyBorder="1" applyAlignment="1">
      <alignment horizontal="center" vertical="center"/>
    </xf>
    <xf numFmtId="17" fontId="45" fillId="27" borderId="42" xfId="2" applyNumberFormat="1" applyFont="1" applyFill="1" applyBorder="1" applyAlignment="1">
      <alignment horizontal="center" vertical="center" wrapText="1"/>
    </xf>
    <xf numFmtId="1" fontId="37" fillId="0" borderId="42" xfId="49" applyNumberFormat="1" applyFont="1" applyBorder="1" applyAlignment="1">
      <alignment horizontal="center" vertical="center"/>
    </xf>
    <xf numFmtId="2" fontId="37" fillId="0" borderId="42" xfId="49" applyNumberFormat="1" applyFont="1" applyBorder="1" applyAlignment="1">
      <alignment horizontal="center" vertical="center"/>
    </xf>
    <xf numFmtId="49" fontId="37" fillId="0" borderId="42" xfId="49" applyNumberFormat="1" applyFont="1" applyBorder="1" applyAlignment="1">
      <alignment horizontal="center" vertical="center"/>
    </xf>
    <xf numFmtId="167" fontId="37" fillId="0" borderId="42" xfId="49" applyNumberFormat="1" applyFont="1" applyBorder="1" applyAlignment="1">
      <alignment horizontal="center" vertical="center"/>
    </xf>
    <xf numFmtId="14" fontId="37" fillId="0" borderId="42" xfId="49" applyNumberFormat="1" applyFont="1" applyBorder="1" applyAlignment="1">
      <alignment horizontal="center" vertical="center"/>
    </xf>
    <xf numFmtId="0" fontId="41" fillId="0" borderId="30" xfId="2" applyFont="1" applyFill="1" applyBorder="1" applyAlignment="1">
      <alignment horizontal="justify" vertical="top"/>
    </xf>
    <xf numFmtId="0" fontId="1" fillId="0" borderId="30" xfId="72" applyBorder="1" applyAlignment="1">
      <alignment horizontal="left"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8" borderId="33" xfId="2" applyNumberFormat="1" applyFont="1" applyFill="1" applyBorder="1" applyAlignment="1">
      <alignment horizontal="left" vertical="center" wrapText="1"/>
    </xf>
    <xf numFmtId="9" fontId="40" fillId="0" borderId="51" xfId="78" quotePrefix="1" applyFont="1" applyFill="1" applyBorder="1" applyAlignment="1">
      <alignment horizontal="justify" vertical="top" wrapText="1"/>
    </xf>
    <xf numFmtId="0" fontId="40" fillId="0" borderId="51" xfId="2" quotePrefix="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51" xfId="2" applyFont="1" applyFill="1" applyBorder="1" applyAlignment="1">
      <alignment horizontal="left" vertical="top" wrapText="1"/>
    </xf>
    <xf numFmtId="0" fontId="42" fillId="0" borderId="43" xfId="2" applyFont="1" applyFill="1" applyBorder="1" applyAlignment="1">
      <alignment horizontal="center" vertical="center" wrapText="1"/>
    </xf>
    <xf numFmtId="0" fontId="60" fillId="0" borderId="0" xfId="67" applyFont="1" applyFill="1" applyBorder="1" applyAlignment="1">
      <alignment vertical="center" wrapText="1"/>
    </xf>
    <xf numFmtId="167" fontId="77" fillId="0" borderId="0" xfId="67" applyNumberFormat="1" applyFont="1" applyFill="1" applyBorder="1" applyAlignment="1">
      <alignment horizontal="center" vertical="center"/>
    </xf>
    <xf numFmtId="0" fontId="78" fillId="0" borderId="0" xfId="50" applyFont="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63"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Border="1" applyAlignment="1">
      <alignment horizontal="center" vertic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6" fillId="0" borderId="0" xfId="1" applyFont="1" applyAlignment="1">
      <alignment horizontal="center" vertical="center"/>
    </xf>
    <xf numFmtId="0" fontId="7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xfId="77" builtinId="19"/>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6"/>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FB3-409C-BA34-33B8C3422968}"/>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FB3-409C-BA34-33B8C3422968}"/>
            </c:ext>
          </c:extLst>
        </c:ser>
        <c:dLbls>
          <c:showLegendKey val="0"/>
          <c:showVal val="0"/>
          <c:showCatName val="0"/>
          <c:showSerName val="0"/>
          <c:showPercent val="0"/>
          <c:showBubbleSize val="0"/>
        </c:dLbls>
        <c:smooth val="0"/>
        <c:axId val="502520312"/>
        <c:axId val="502519920"/>
      </c:lineChart>
      <c:catAx>
        <c:axId val="50252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9920"/>
        <c:crosses val="autoZero"/>
        <c:auto val="1"/>
        <c:lblAlgn val="ctr"/>
        <c:lblOffset val="100"/>
        <c:noMultiLvlLbl val="0"/>
      </c:catAx>
      <c:valAx>
        <c:axId val="502519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20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6" sqref="A6"/>
    </sheetView>
  </sheetViews>
  <sheetFormatPr defaultRowHeight="15" x14ac:dyDescent="0.25"/>
  <cols>
    <col min="1" max="1" width="6.140625" style="1" customWidth="1"/>
    <col min="2" max="2" width="53.5703125" style="1" customWidth="1"/>
    <col min="3" max="3" width="91.42578125" style="33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25"/>
      <c r="F4" s="14"/>
      <c r="G4" s="14"/>
      <c r="H4" s="13"/>
    </row>
    <row r="5" spans="1:22" s="10" customFormat="1" ht="15.75" x14ac:dyDescent="0.25">
      <c r="A5" s="386" t="s">
        <v>560</v>
      </c>
      <c r="B5" s="386"/>
      <c r="C5" s="386"/>
      <c r="D5" s="99"/>
      <c r="E5" s="99"/>
      <c r="F5" s="99"/>
      <c r="G5" s="99"/>
      <c r="H5" s="99"/>
      <c r="I5" s="99"/>
      <c r="J5" s="99"/>
    </row>
    <row r="6" spans="1:22" s="10" customFormat="1" ht="18.75" x14ac:dyDescent="0.3">
      <c r="A6" s="134"/>
      <c r="B6" s="14"/>
      <c r="C6" s="326"/>
      <c r="F6" s="14"/>
      <c r="G6" s="14"/>
      <c r="H6" s="13"/>
    </row>
    <row r="7" spans="1:22" s="10" customFormat="1" ht="18.75" x14ac:dyDescent="0.2">
      <c r="A7" s="388" t="s">
        <v>6</v>
      </c>
      <c r="B7" s="388"/>
      <c r="C7" s="388"/>
      <c r="D7" s="11"/>
      <c r="E7" s="11"/>
      <c r="F7" s="11"/>
      <c r="G7" s="11"/>
      <c r="H7" s="11"/>
      <c r="I7" s="11"/>
      <c r="J7" s="11"/>
      <c r="K7" s="11"/>
      <c r="L7" s="11"/>
      <c r="M7" s="11"/>
      <c r="N7" s="11"/>
      <c r="O7" s="11"/>
      <c r="P7" s="11"/>
      <c r="Q7" s="11"/>
      <c r="R7" s="11"/>
      <c r="S7" s="11"/>
      <c r="T7" s="11"/>
      <c r="U7" s="11"/>
      <c r="V7" s="11"/>
    </row>
    <row r="8" spans="1:22" s="10" customFormat="1" ht="18.75" x14ac:dyDescent="0.2">
      <c r="A8" s="135"/>
      <c r="B8" s="135"/>
      <c r="C8" s="327"/>
      <c r="D8" s="12"/>
      <c r="E8" s="12"/>
      <c r="F8" s="12"/>
      <c r="G8" s="12"/>
      <c r="H8" s="12"/>
      <c r="I8" s="11"/>
      <c r="J8" s="11"/>
      <c r="K8" s="11"/>
      <c r="L8" s="11"/>
      <c r="M8" s="11"/>
      <c r="N8" s="11"/>
      <c r="O8" s="11"/>
      <c r="P8" s="11"/>
      <c r="Q8" s="11"/>
      <c r="R8" s="11"/>
      <c r="S8" s="11"/>
      <c r="T8" s="11"/>
      <c r="U8" s="11"/>
      <c r="V8" s="11"/>
    </row>
    <row r="9" spans="1:22" s="10" customFormat="1" ht="18.75" x14ac:dyDescent="0.2">
      <c r="A9" s="389" t="s">
        <v>558</v>
      </c>
      <c r="B9" s="389"/>
      <c r="C9" s="389"/>
      <c r="D9" s="6"/>
      <c r="E9" s="6"/>
      <c r="F9" s="6"/>
      <c r="G9" s="6"/>
      <c r="H9" s="6"/>
      <c r="I9" s="11"/>
      <c r="J9" s="11"/>
      <c r="K9" s="11"/>
      <c r="L9" s="11"/>
      <c r="M9" s="11"/>
      <c r="N9" s="11"/>
      <c r="O9" s="11"/>
      <c r="P9" s="11"/>
      <c r="Q9" s="11"/>
      <c r="R9" s="11"/>
      <c r="S9" s="11"/>
      <c r="T9" s="11"/>
      <c r="U9" s="11"/>
      <c r="V9" s="11"/>
    </row>
    <row r="10" spans="1:22" s="10" customFormat="1" ht="18.75" x14ac:dyDescent="0.2">
      <c r="A10" s="383" t="s">
        <v>5</v>
      </c>
      <c r="B10" s="383"/>
      <c r="C10" s="38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2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90" t="s">
        <v>536</v>
      </c>
      <c r="B12" s="390"/>
      <c r="C12" s="390"/>
      <c r="D12" s="6"/>
      <c r="E12" s="6"/>
      <c r="F12" s="6"/>
      <c r="G12" s="6"/>
      <c r="H12" s="6"/>
      <c r="I12" s="11"/>
      <c r="J12" s="11"/>
      <c r="K12" s="11"/>
      <c r="L12" s="11"/>
      <c r="M12" s="11"/>
      <c r="N12" s="11"/>
      <c r="O12" s="11"/>
      <c r="P12" s="11"/>
      <c r="Q12" s="11"/>
      <c r="R12" s="11"/>
      <c r="S12" s="11"/>
      <c r="T12" s="11"/>
      <c r="U12" s="11"/>
      <c r="V12" s="11"/>
    </row>
    <row r="13" spans="1:22" s="10" customFormat="1" ht="18.75" x14ac:dyDescent="0.2">
      <c r="A13" s="383" t="s">
        <v>4</v>
      </c>
      <c r="B13" s="383"/>
      <c r="C13" s="38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29"/>
      <c r="D14" s="8"/>
      <c r="E14" s="8"/>
      <c r="F14" s="8"/>
      <c r="G14" s="8"/>
      <c r="H14" s="8"/>
      <c r="I14" s="8"/>
      <c r="J14" s="8"/>
      <c r="K14" s="8"/>
      <c r="L14" s="8"/>
      <c r="M14" s="8"/>
      <c r="N14" s="8"/>
      <c r="O14" s="8"/>
      <c r="P14" s="8"/>
      <c r="Q14" s="8"/>
      <c r="R14" s="8"/>
      <c r="S14" s="8"/>
      <c r="T14" s="8"/>
      <c r="U14" s="8"/>
      <c r="V14" s="8"/>
    </row>
    <row r="15" spans="1:22" s="2" customFormat="1" ht="80.25" customHeight="1" x14ac:dyDescent="0.2">
      <c r="A15" s="387" t="s">
        <v>550</v>
      </c>
      <c r="B15" s="387"/>
      <c r="C15" s="387"/>
      <c r="D15" s="6"/>
      <c r="E15" s="6"/>
      <c r="F15" s="6"/>
      <c r="G15" s="6"/>
      <c r="H15" s="6"/>
      <c r="I15" s="6"/>
      <c r="J15" s="6"/>
      <c r="K15" s="6"/>
      <c r="L15" s="6"/>
      <c r="M15" s="6"/>
      <c r="N15" s="6"/>
      <c r="O15" s="6"/>
      <c r="P15" s="6"/>
      <c r="Q15" s="6"/>
      <c r="R15" s="6"/>
      <c r="S15" s="6"/>
      <c r="T15" s="6"/>
      <c r="U15" s="6"/>
      <c r="V15" s="6"/>
    </row>
    <row r="16" spans="1:22" s="2" customFormat="1" ht="15" customHeight="1" x14ac:dyDescent="0.2">
      <c r="A16" s="383" t="s">
        <v>3</v>
      </c>
      <c r="B16" s="383"/>
      <c r="C16" s="38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30"/>
      <c r="D17" s="3"/>
      <c r="E17" s="3"/>
      <c r="F17" s="3"/>
      <c r="G17" s="3"/>
      <c r="H17" s="3"/>
      <c r="I17" s="3"/>
      <c r="J17" s="3"/>
      <c r="K17" s="3"/>
      <c r="L17" s="3"/>
      <c r="M17" s="3"/>
      <c r="N17" s="3"/>
      <c r="O17" s="3"/>
      <c r="P17" s="3"/>
      <c r="Q17" s="3"/>
      <c r="R17" s="3"/>
      <c r="S17" s="3"/>
    </row>
    <row r="18" spans="1:22" s="2" customFormat="1" ht="15" customHeight="1" x14ac:dyDescent="0.2">
      <c r="A18" s="384" t="s">
        <v>382</v>
      </c>
      <c r="B18" s="385"/>
      <c r="C18" s="38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31"/>
      <c r="D19" s="4"/>
      <c r="E19" s="4"/>
      <c r="F19" s="4"/>
      <c r="G19" s="4"/>
      <c r="H19" s="4"/>
      <c r="I19" s="3"/>
      <c r="J19" s="3"/>
      <c r="K19" s="3"/>
      <c r="L19" s="3"/>
      <c r="M19" s="3"/>
      <c r="N19" s="3"/>
      <c r="O19" s="3"/>
      <c r="P19" s="3"/>
      <c r="Q19" s="3"/>
      <c r="R19" s="3"/>
      <c r="S19" s="3"/>
    </row>
    <row r="20" spans="1:22" s="2" customFormat="1" ht="39.75" customHeight="1" x14ac:dyDescent="0.2">
      <c r="A20" s="23" t="s">
        <v>2</v>
      </c>
      <c r="B20" s="34" t="s">
        <v>63</v>
      </c>
      <c r="C20" s="33"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3">
        <v>1</v>
      </c>
      <c r="B21" s="34">
        <v>2</v>
      </c>
      <c r="C21" s="33">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314" t="s">
        <v>61</v>
      </c>
      <c r="B22" s="336" t="s">
        <v>265</v>
      </c>
      <c r="C22" s="313" t="s">
        <v>551</v>
      </c>
      <c r="D22" s="27"/>
      <c r="E22" s="27"/>
      <c r="F22" s="27"/>
      <c r="G22" s="27"/>
      <c r="H22" s="27"/>
      <c r="I22" s="26"/>
      <c r="J22" s="26"/>
      <c r="K22" s="26"/>
      <c r="L22" s="26"/>
      <c r="M22" s="26"/>
      <c r="N22" s="26"/>
      <c r="O22" s="26"/>
      <c r="P22" s="26"/>
      <c r="Q22" s="26"/>
      <c r="R22" s="26"/>
      <c r="S22" s="26"/>
      <c r="T22" s="25"/>
      <c r="U22" s="25"/>
      <c r="V22" s="25"/>
    </row>
    <row r="23" spans="1:22" s="2" customFormat="1" ht="63" x14ac:dyDescent="0.2">
      <c r="A23" s="315" t="s">
        <v>60</v>
      </c>
      <c r="B23" s="336" t="s">
        <v>411</v>
      </c>
      <c r="C23" s="313" t="s">
        <v>537</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80"/>
      <c r="B24" s="381"/>
      <c r="C24" s="382"/>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309" t="s">
        <v>59</v>
      </c>
      <c r="B25" s="336" t="s">
        <v>331</v>
      </c>
      <c r="C25" s="313" t="s">
        <v>455</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309" t="s">
        <v>58</v>
      </c>
      <c r="B26" s="336" t="s">
        <v>71</v>
      </c>
      <c r="C26" s="313" t="s">
        <v>398</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309" t="s">
        <v>56</v>
      </c>
      <c r="B27" s="336" t="s">
        <v>70</v>
      </c>
      <c r="C27" s="313" t="s">
        <v>525</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309" t="s">
        <v>55</v>
      </c>
      <c r="B28" s="336" t="s">
        <v>332</v>
      </c>
      <c r="C28" s="313" t="s">
        <v>414</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309" t="s">
        <v>53</v>
      </c>
      <c r="B29" s="336" t="s">
        <v>333</v>
      </c>
      <c r="C29" s="313" t="s">
        <v>414</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309" t="s">
        <v>51</v>
      </c>
      <c r="B30" s="336" t="s">
        <v>334</v>
      </c>
      <c r="C30" s="313" t="s">
        <v>414</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309" t="s">
        <v>69</v>
      </c>
      <c r="B31" s="336" t="s">
        <v>335</v>
      </c>
      <c r="C31" s="313" t="s">
        <v>413</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309" t="s">
        <v>67</v>
      </c>
      <c r="B32" s="336" t="s">
        <v>336</v>
      </c>
      <c r="C32" s="313" t="s">
        <v>414</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309" t="s">
        <v>66</v>
      </c>
      <c r="B33" s="336" t="s">
        <v>337</v>
      </c>
      <c r="C33" s="313" t="s">
        <v>517</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309" t="s">
        <v>351</v>
      </c>
      <c r="B34" s="336" t="s">
        <v>338</v>
      </c>
      <c r="C34" s="313" t="s">
        <v>414</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09" t="s">
        <v>341</v>
      </c>
      <c r="B35" s="336" t="s">
        <v>68</v>
      </c>
      <c r="C35" s="313" t="s">
        <v>414</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09" t="s">
        <v>352</v>
      </c>
      <c r="B36" s="336" t="s">
        <v>339</v>
      </c>
      <c r="C36" s="313" t="s">
        <v>415</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09" t="s">
        <v>342</v>
      </c>
      <c r="B37" s="336" t="s">
        <v>340</v>
      </c>
      <c r="C37" s="313" t="s">
        <v>412</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09" t="s">
        <v>353</v>
      </c>
      <c r="B38" s="336" t="s">
        <v>203</v>
      </c>
      <c r="C38" s="313" t="s">
        <v>414</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0"/>
      <c r="B39" s="381"/>
      <c r="C39" s="382"/>
      <c r="D39" s="21"/>
      <c r="E39" s="21"/>
      <c r="F39" s="21"/>
      <c r="G39" s="21"/>
      <c r="H39" s="21"/>
      <c r="I39" s="21"/>
      <c r="J39" s="21"/>
      <c r="K39" s="21"/>
      <c r="L39" s="21"/>
      <c r="M39" s="21"/>
      <c r="N39" s="21"/>
      <c r="O39" s="21"/>
      <c r="P39" s="21"/>
      <c r="Q39" s="21"/>
      <c r="R39" s="21"/>
      <c r="S39" s="21"/>
      <c r="T39" s="21"/>
      <c r="U39" s="21"/>
      <c r="V39" s="21"/>
    </row>
    <row r="40" spans="1:22" ht="63" x14ac:dyDescent="0.25">
      <c r="A40" s="309" t="s">
        <v>343</v>
      </c>
      <c r="B40" s="310" t="s">
        <v>394</v>
      </c>
      <c r="C40" s="333" t="s">
        <v>538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09" t="s">
        <v>354</v>
      </c>
      <c r="B41" s="310" t="s">
        <v>377</v>
      </c>
      <c r="C41" s="332" t="s">
        <v>412</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09" t="s">
        <v>344</v>
      </c>
      <c r="B42" s="310" t="s">
        <v>391</v>
      </c>
      <c r="C42" s="332" t="s">
        <v>412</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09" t="s">
        <v>357</v>
      </c>
      <c r="B43" s="310" t="s">
        <v>358</v>
      </c>
      <c r="C43" s="310" t="s">
        <v>455</v>
      </c>
      <c r="D43" s="21"/>
      <c r="E43" s="21"/>
      <c r="F43" s="21"/>
      <c r="G43" s="21"/>
      <c r="H43" s="21"/>
      <c r="I43" s="21"/>
      <c r="J43" s="21"/>
      <c r="K43" s="21"/>
      <c r="L43" s="21"/>
      <c r="M43" s="21"/>
      <c r="N43" s="21"/>
      <c r="O43" s="21"/>
      <c r="P43" s="21"/>
      <c r="Q43" s="21"/>
      <c r="R43" s="21"/>
      <c r="S43" s="21"/>
      <c r="T43" s="21"/>
      <c r="U43" s="21"/>
      <c r="V43" s="21"/>
    </row>
    <row r="44" spans="1:22" ht="94.5" x14ac:dyDescent="0.25">
      <c r="A44" s="309" t="s">
        <v>345</v>
      </c>
      <c r="B44" s="310" t="s">
        <v>383</v>
      </c>
      <c r="C44" s="310" t="s">
        <v>455</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309" t="s">
        <v>378</v>
      </c>
      <c r="B45" s="310" t="s">
        <v>384</v>
      </c>
      <c r="C45" s="310" t="s">
        <v>455</v>
      </c>
      <c r="D45" s="21"/>
      <c r="E45" s="21"/>
      <c r="F45" s="21"/>
      <c r="G45" s="21"/>
      <c r="H45" s="21"/>
      <c r="I45" s="21"/>
      <c r="J45" s="21"/>
      <c r="K45" s="21"/>
      <c r="L45" s="21"/>
      <c r="M45" s="21"/>
      <c r="N45" s="21"/>
      <c r="O45" s="21"/>
      <c r="P45" s="21"/>
      <c r="Q45" s="21"/>
      <c r="R45" s="21"/>
      <c r="S45" s="21"/>
      <c r="T45" s="21"/>
      <c r="U45" s="21"/>
      <c r="V45" s="21"/>
    </row>
    <row r="46" spans="1:22" ht="94.5" x14ac:dyDescent="0.25">
      <c r="A46" s="309" t="s">
        <v>346</v>
      </c>
      <c r="B46" s="310" t="s">
        <v>385</v>
      </c>
      <c r="C46" s="310" t="s">
        <v>455</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0"/>
      <c r="B47" s="381"/>
      <c r="C47" s="382"/>
      <c r="D47" s="21"/>
      <c r="E47" s="21"/>
      <c r="F47" s="21"/>
      <c r="G47" s="21"/>
      <c r="H47" s="21"/>
      <c r="I47" s="21"/>
      <c r="J47" s="21"/>
      <c r="K47" s="21"/>
      <c r="L47" s="21"/>
      <c r="M47" s="21"/>
      <c r="N47" s="21"/>
      <c r="O47" s="21"/>
      <c r="P47" s="21"/>
      <c r="Q47" s="21"/>
      <c r="R47" s="21"/>
      <c r="S47" s="21"/>
      <c r="T47" s="21"/>
      <c r="U47" s="21"/>
      <c r="V47" s="21"/>
    </row>
    <row r="48" spans="1:22" ht="75.75" customHeight="1" x14ac:dyDescent="0.25">
      <c r="A48" s="309" t="s">
        <v>379</v>
      </c>
      <c r="B48" s="310" t="s">
        <v>392</v>
      </c>
      <c r="C48" s="337" t="str">
        <f>CONCATENATE(ROUND('6.2. Паспорт фин осв ввод'!U24,2),"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09" t="s">
        <v>347</v>
      </c>
      <c r="B49" s="310" t="s">
        <v>393</v>
      </c>
      <c r="C49" s="337" t="str">
        <f>CONCATENATE(ROUND('6.2. Паспорт фин осв ввод'!U30,2),"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34"/>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34"/>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34"/>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34"/>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34"/>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34"/>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34"/>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34"/>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34"/>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34"/>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34"/>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34"/>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34"/>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34"/>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34"/>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34"/>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34"/>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34"/>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34"/>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34"/>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34"/>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34"/>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34"/>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34"/>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34"/>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34"/>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34"/>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34"/>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34"/>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34"/>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34"/>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34"/>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34"/>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34"/>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34"/>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34"/>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34"/>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34"/>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34"/>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34"/>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34"/>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34"/>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34"/>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34"/>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34"/>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34"/>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34"/>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34"/>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34"/>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34"/>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34"/>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34"/>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34"/>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34"/>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34"/>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34"/>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34"/>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34"/>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34"/>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34"/>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34"/>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34"/>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34"/>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34"/>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34"/>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34"/>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34"/>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34"/>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34"/>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34"/>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34"/>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34"/>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34"/>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34"/>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34"/>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34"/>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34"/>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34"/>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34"/>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34"/>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34"/>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34"/>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34"/>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34"/>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34"/>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34"/>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34"/>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34"/>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34"/>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34"/>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34"/>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34"/>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34"/>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34"/>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34"/>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34"/>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34"/>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34"/>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34"/>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34"/>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34"/>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34"/>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34"/>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34"/>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34"/>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34"/>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34"/>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34"/>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34"/>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34"/>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34"/>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34"/>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34"/>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34"/>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34"/>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34"/>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34"/>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34"/>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34"/>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34"/>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34"/>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34"/>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34"/>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34"/>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34"/>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34"/>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34"/>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34"/>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34"/>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34"/>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34"/>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34"/>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34"/>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34"/>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34"/>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34"/>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34"/>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34"/>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34"/>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34"/>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34"/>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34"/>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34"/>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34"/>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34"/>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34"/>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34"/>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34"/>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34"/>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34"/>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34"/>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34"/>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34"/>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34"/>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34"/>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34"/>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34"/>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34"/>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34"/>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34"/>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34"/>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34"/>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34"/>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34"/>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34"/>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34"/>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34"/>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34"/>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34"/>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34"/>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34"/>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34"/>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34"/>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34"/>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34"/>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34"/>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34"/>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34"/>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34"/>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34"/>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34"/>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34"/>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34"/>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34"/>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34"/>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34"/>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34"/>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34"/>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34"/>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34"/>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34"/>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34"/>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34"/>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34"/>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34"/>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34"/>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34"/>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34"/>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34"/>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34"/>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34"/>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34"/>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34"/>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34"/>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34"/>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34"/>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34"/>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34"/>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34"/>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34"/>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34"/>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34"/>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34"/>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34"/>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34"/>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34"/>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34"/>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34"/>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34"/>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34"/>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34"/>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34"/>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34"/>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34"/>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34"/>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34"/>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34"/>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34"/>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34"/>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34"/>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34"/>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34"/>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34"/>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34"/>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34"/>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34"/>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34"/>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34"/>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34"/>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34"/>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34"/>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34"/>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34"/>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34"/>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34"/>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34"/>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34"/>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34"/>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34"/>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34"/>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34"/>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34"/>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34"/>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34"/>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34"/>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34"/>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34"/>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34"/>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34"/>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34"/>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34"/>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34"/>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34"/>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34"/>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34"/>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34"/>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34"/>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34"/>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34"/>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34"/>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34"/>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34"/>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34"/>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34"/>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34"/>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34"/>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34"/>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34"/>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34"/>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34"/>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34"/>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34"/>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34"/>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34"/>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34"/>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34"/>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34"/>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34"/>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34"/>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3">
      <formula1>список7</formula1>
    </dataValidation>
    <dataValidation type="list" allowBlank="1" showInputMessage="1" showErrorMessage="1" sqref="C34 C32 C28:C30 C38">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I39" sqref="I39"/>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16384" width="9.140625" style="50"/>
  </cols>
  <sheetData>
    <row r="1" spans="1:21" ht="18.75" x14ac:dyDescent="0.25">
      <c r="A1" s="51"/>
      <c r="B1" s="51"/>
      <c r="C1" s="51"/>
      <c r="D1" s="51"/>
      <c r="E1" s="51"/>
      <c r="F1" s="51"/>
      <c r="U1" s="35" t="s">
        <v>65</v>
      </c>
    </row>
    <row r="2" spans="1:21" ht="18.75" x14ac:dyDescent="0.3">
      <c r="A2" s="51"/>
      <c r="B2" s="51"/>
      <c r="C2" s="51"/>
      <c r="D2" s="51"/>
      <c r="E2" s="51"/>
      <c r="F2" s="51"/>
      <c r="U2" s="13" t="s">
        <v>7</v>
      </c>
    </row>
    <row r="3" spans="1:21" ht="18.75" x14ac:dyDescent="0.3">
      <c r="A3" s="51"/>
      <c r="B3" s="51"/>
      <c r="C3" s="51"/>
      <c r="D3" s="51"/>
      <c r="E3" s="51"/>
      <c r="F3" s="51"/>
      <c r="U3" s="13" t="s">
        <v>64</v>
      </c>
    </row>
    <row r="4" spans="1:21" ht="18.75" customHeight="1" x14ac:dyDescent="0.25">
      <c r="A4" s="386" t="str">
        <f>'6.1. Паспорт сетевой график'!A5:K5</f>
        <v>Год раскрытия информации: 2023 год</v>
      </c>
      <c r="B4" s="386"/>
      <c r="C4" s="386"/>
      <c r="D4" s="386"/>
      <c r="E4" s="386"/>
      <c r="F4" s="386"/>
      <c r="G4" s="386"/>
      <c r="H4" s="386"/>
      <c r="I4" s="386"/>
      <c r="J4" s="386"/>
      <c r="K4" s="386"/>
      <c r="L4" s="386"/>
      <c r="M4" s="386"/>
      <c r="N4" s="386"/>
      <c r="O4" s="386"/>
      <c r="P4" s="386"/>
      <c r="Q4" s="386"/>
      <c r="R4" s="386"/>
      <c r="S4" s="386"/>
      <c r="T4" s="386"/>
      <c r="U4" s="386"/>
    </row>
    <row r="5" spans="1:21" ht="18.75" x14ac:dyDescent="0.3">
      <c r="A5" s="51"/>
      <c r="B5" s="51"/>
      <c r="C5" s="51"/>
      <c r="D5" s="51"/>
      <c r="E5" s="51"/>
      <c r="F5" s="51"/>
      <c r="U5" s="13"/>
    </row>
    <row r="6" spans="1:21" ht="18.75" x14ac:dyDescent="0.25">
      <c r="A6" s="395" t="s">
        <v>6</v>
      </c>
      <c r="B6" s="395"/>
      <c r="C6" s="395"/>
      <c r="D6" s="395"/>
      <c r="E6" s="395"/>
      <c r="F6" s="395"/>
      <c r="G6" s="395"/>
      <c r="H6" s="395"/>
      <c r="I6" s="395"/>
      <c r="J6" s="395"/>
      <c r="K6" s="395"/>
      <c r="L6" s="395"/>
      <c r="M6" s="395"/>
      <c r="N6" s="395"/>
      <c r="O6" s="395"/>
      <c r="P6" s="395"/>
      <c r="Q6" s="395"/>
      <c r="R6" s="395"/>
      <c r="S6" s="395"/>
      <c r="T6" s="395"/>
      <c r="U6" s="395"/>
    </row>
    <row r="7" spans="1:21" ht="18.75" x14ac:dyDescent="0.25">
      <c r="A7" s="139"/>
      <c r="B7" s="139"/>
      <c r="C7" s="139"/>
      <c r="D7" s="139"/>
      <c r="E7" s="139"/>
      <c r="F7" s="139"/>
      <c r="G7" s="139"/>
      <c r="H7" s="139"/>
      <c r="I7" s="139"/>
      <c r="J7" s="139"/>
      <c r="K7" s="139"/>
      <c r="L7" s="139"/>
      <c r="M7" s="139"/>
      <c r="N7" s="139"/>
      <c r="O7" s="139"/>
      <c r="P7" s="139"/>
      <c r="Q7" s="139"/>
      <c r="R7" s="139"/>
      <c r="S7" s="139"/>
      <c r="T7" s="226"/>
      <c r="U7" s="226"/>
    </row>
    <row r="8" spans="1:21" x14ac:dyDescent="0.25">
      <c r="A8" s="396" t="str">
        <f>'6.1. Паспорт сетевой график'!A9</f>
        <v>Акционерное общество "Россети Янтарь"</v>
      </c>
      <c r="B8" s="396"/>
      <c r="C8" s="396"/>
      <c r="D8" s="396"/>
      <c r="E8" s="396"/>
      <c r="F8" s="396"/>
      <c r="G8" s="396"/>
      <c r="H8" s="396"/>
      <c r="I8" s="396"/>
      <c r="J8" s="396"/>
      <c r="K8" s="396"/>
      <c r="L8" s="396"/>
      <c r="M8" s="396"/>
      <c r="N8" s="396"/>
      <c r="O8" s="396"/>
      <c r="P8" s="396"/>
      <c r="Q8" s="396"/>
      <c r="R8" s="396"/>
      <c r="S8" s="396"/>
      <c r="T8" s="396"/>
      <c r="U8" s="396"/>
    </row>
    <row r="9" spans="1:21" ht="18.75" customHeight="1" x14ac:dyDescent="0.25">
      <c r="A9" s="392" t="s">
        <v>5</v>
      </c>
      <c r="B9" s="392"/>
      <c r="C9" s="392"/>
      <c r="D9" s="392"/>
      <c r="E9" s="392"/>
      <c r="F9" s="392"/>
      <c r="G9" s="392"/>
      <c r="H9" s="392"/>
      <c r="I9" s="392"/>
      <c r="J9" s="392"/>
      <c r="K9" s="392"/>
      <c r="L9" s="392"/>
      <c r="M9" s="392"/>
      <c r="N9" s="392"/>
      <c r="O9" s="392"/>
      <c r="P9" s="392"/>
      <c r="Q9" s="392"/>
      <c r="R9" s="392"/>
      <c r="S9" s="392"/>
      <c r="T9" s="392"/>
      <c r="U9" s="392"/>
    </row>
    <row r="10" spans="1:21" ht="18.75" x14ac:dyDescent="0.25">
      <c r="A10" s="139"/>
      <c r="B10" s="139"/>
      <c r="C10" s="139"/>
      <c r="D10" s="139"/>
      <c r="E10" s="139"/>
      <c r="F10" s="139"/>
      <c r="G10" s="139"/>
      <c r="H10" s="139"/>
      <c r="I10" s="139"/>
      <c r="J10" s="139"/>
      <c r="K10" s="139"/>
      <c r="L10" s="139"/>
      <c r="M10" s="139"/>
      <c r="N10" s="139"/>
      <c r="O10" s="139"/>
      <c r="P10" s="139"/>
      <c r="Q10" s="139"/>
      <c r="R10" s="139"/>
      <c r="S10" s="139"/>
      <c r="T10" s="226"/>
      <c r="U10" s="226"/>
    </row>
    <row r="11" spans="1:21" x14ac:dyDescent="0.25">
      <c r="A11" s="396" t="str">
        <f>'6.1. Паспорт сетевой график'!A12</f>
        <v>L_16-0257</v>
      </c>
      <c r="B11" s="396"/>
      <c r="C11" s="396"/>
      <c r="D11" s="396"/>
      <c r="E11" s="396"/>
      <c r="F11" s="396"/>
      <c r="G11" s="396"/>
      <c r="H11" s="396"/>
      <c r="I11" s="396"/>
      <c r="J11" s="396"/>
      <c r="K11" s="396"/>
      <c r="L11" s="396"/>
      <c r="M11" s="396"/>
      <c r="N11" s="396"/>
      <c r="O11" s="396"/>
      <c r="P11" s="396"/>
      <c r="Q11" s="396"/>
      <c r="R11" s="396"/>
      <c r="S11" s="396"/>
      <c r="T11" s="396"/>
      <c r="U11" s="396"/>
    </row>
    <row r="12" spans="1:21"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row>
    <row r="13" spans="1:21" ht="16.5" customHeight="1" x14ac:dyDescent="0.3">
      <c r="A13" s="227"/>
      <c r="B13" s="227"/>
      <c r="C13" s="227"/>
      <c r="D13" s="227"/>
      <c r="E13" s="227"/>
      <c r="F13" s="227"/>
      <c r="G13" s="227"/>
      <c r="H13" s="227"/>
      <c r="I13" s="227"/>
      <c r="J13" s="227"/>
      <c r="K13" s="227"/>
      <c r="L13" s="227"/>
      <c r="M13" s="227"/>
      <c r="N13" s="227"/>
      <c r="O13" s="227"/>
      <c r="P13" s="227"/>
      <c r="Q13" s="227"/>
      <c r="R13" s="227"/>
      <c r="S13" s="227"/>
      <c r="T13" s="60"/>
      <c r="U13" s="60"/>
    </row>
    <row r="14" spans="1:21" ht="36" customHeight="1" x14ac:dyDescent="0.25">
      <c r="A14" s="391" t="str">
        <f>'6.1. Паспорт сетевой график'!A15</f>
        <v>Строительство КЛ 15 кВ взамен существующей ВЛ 15 кВ № 15-21 (инв. № 5114657) протяженностью 1,7 км в Гурьевском районе</v>
      </c>
      <c r="B14" s="391"/>
      <c r="C14" s="391"/>
      <c r="D14" s="391"/>
      <c r="E14" s="391"/>
      <c r="F14" s="391"/>
      <c r="G14" s="391"/>
      <c r="H14" s="391"/>
      <c r="I14" s="391"/>
      <c r="J14" s="391"/>
      <c r="K14" s="391"/>
      <c r="L14" s="391"/>
      <c r="M14" s="391"/>
      <c r="N14" s="391"/>
      <c r="O14" s="391"/>
      <c r="P14" s="391"/>
      <c r="Q14" s="391"/>
      <c r="R14" s="391"/>
      <c r="S14" s="391"/>
      <c r="T14" s="391"/>
      <c r="U14" s="391"/>
    </row>
    <row r="15" spans="1:21" ht="15.75" customHeight="1" x14ac:dyDescent="0.25">
      <c r="A15" s="392" t="s">
        <v>3</v>
      </c>
      <c r="B15" s="392"/>
      <c r="C15" s="392"/>
      <c r="D15" s="392"/>
      <c r="E15" s="392"/>
      <c r="F15" s="392"/>
      <c r="G15" s="392"/>
      <c r="H15" s="392"/>
      <c r="I15" s="392"/>
      <c r="J15" s="392"/>
      <c r="K15" s="392"/>
      <c r="L15" s="392"/>
      <c r="M15" s="392"/>
      <c r="N15" s="392"/>
      <c r="O15" s="392"/>
      <c r="P15" s="392"/>
      <c r="Q15" s="392"/>
      <c r="R15" s="392"/>
      <c r="S15" s="392"/>
      <c r="T15" s="392"/>
      <c r="U15" s="392"/>
    </row>
    <row r="16" spans="1:21" x14ac:dyDescent="0.25">
      <c r="A16" s="475"/>
      <c r="B16" s="475"/>
      <c r="C16" s="475"/>
      <c r="D16" s="475"/>
      <c r="E16" s="475"/>
      <c r="F16" s="475"/>
      <c r="G16" s="475"/>
      <c r="H16" s="475"/>
      <c r="I16" s="475"/>
      <c r="J16" s="475"/>
      <c r="K16" s="475"/>
      <c r="L16" s="475"/>
      <c r="M16" s="475"/>
      <c r="N16" s="475"/>
      <c r="O16" s="475"/>
      <c r="P16" s="475"/>
      <c r="Q16" s="475"/>
      <c r="R16" s="475"/>
      <c r="S16" s="475"/>
      <c r="T16" s="475"/>
      <c r="U16" s="475"/>
    </row>
    <row r="17" spans="1:24" x14ac:dyDescent="0.25">
      <c r="A17" s="51"/>
      <c r="T17" s="51"/>
    </row>
    <row r="18" spans="1:24" x14ac:dyDescent="0.25">
      <c r="A18" s="476" t="s">
        <v>367</v>
      </c>
      <c r="B18" s="476"/>
      <c r="C18" s="476"/>
      <c r="D18" s="476"/>
      <c r="E18" s="476"/>
      <c r="F18" s="476"/>
      <c r="G18" s="476"/>
      <c r="H18" s="476"/>
      <c r="I18" s="476"/>
      <c r="J18" s="476"/>
      <c r="K18" s="476"/>
      <c r="L18" s="476"/>
      <c r="M18" s="476"/>
      <c r="N18" s="476"/>
      <c r="O18" s="476"/>
      <c r="P18" s="476"/>
      <c r="Q18" s="476"/>
      <c r="R18" s="476"/>
      <c r="S18" s="476"/>
      <c r="T18" s="476"/>
      <c r="U18" s="476"/>
    </row>
    <row r="19" spans="1:24" x14ac:dyDescent="0.25">
      <c r="A19" s="51"/>
      <c r="B19" s="51"/>
      <c r="C19" s="51"/>
      <c r="D19" s="51"/>
      <c r="E19" s="51"/>
      <c r="F19" s="51"/>
      <c r="T19" s="51"/>
    </row>
    <row r="20" spans="1:24" ht="33" customHeight="1" x14ac:dyDescent="0.25">
      <c r="A20" s="466" t="s">
        <v>181</v>
      </c>
      <c r="B20" s="466" t="s">
        <v>180</v>
      </c>
      <c r="C20" s="457" t="s">
        <v>179</v>
      </c>
      <c r="D20" s="457"/>
      <c r="E20" s="469" t="s">
        <v>178</v>
      </c>
      <c r="F20" s="469"/>
      <c r="G20" s="472" t="s">
        <v>557</v>
      </c>
      <c r="H20" s="470">
        <v>2021</v>
      </c>
      <c r="I20" s="471"/>
      <c r="J20" s="471"/>
      <c r="K20" s="471"/>
      <c r="L20" s="470" t="s">
        <v>542</v>
      </c>
      <c r="M20" s="471"/>
      <c r="N20" s="471"/>
      <c r="O20" s="471"/>
      <c r="P20" s="470" t="s">
        <v>543</v>
      </c>
      <c r="Q20" s="471"/>
      <c r="R20" s="471"/>
      <c r="S20" s="471"/>
      <c r="T20" s="477" t="s">
        <v>177</v>
      </c>
      <c r="U20" s="477"/>
      <c r="V20" s="59"/>
      <c r="W20" s="59"/>
      <c r="X20" s="59"/>
    </row>
    <row r="21" spans="1:24" ht="99.75" customHeight="1" x14ac:dyDescent="0.25">
      <c r="A21" s="467"/>
      <c r="B21" s="467"/>
      <c r="C21" s="457"/>
      <c r="D21" s="457"/>
      <c r="E21" s="469"/>
      <c r="F21" s="469"/>
      <c r="G21" s="473"/>
      <c r="H21" s="457" t="s">
        <v>1</v>
      </c>
      <c r="I21" s="457"/>
      <c r="J21" s="457" t="s">
        <v>8</v>
      </c>
      <c r="K21" s="457"/>
      <c r="L21" s="457" t="s">
        <v>1</v>
      </c>
      <c r="M21" s="457"/>
      <c r="N21" s="457" t="s">
        <v>8</v>
      </c>
      <c r="O21" s="457"/>
      <c r="P21" s="457" t="s">
        <v>1</v>
      </c>
      <c r="Q21" s="457"/>
      <c r="R21" s="457" t="s">
        <v>8</v>
      </c>
      <c r="S21" s="457"/>
      <c r="T21" s="477"/>
      <c r="U21" s="477"/>
    </row>
    <row r="22" spans="1:24" ht="89.25" customHeight="1" x14ac:dyDescent="0.25">
      <c r="A22" s="468"/>
      <c r="B22" s="468"/>
      <c r="C22" s="376" t="s">
        <v>1</v>
      </c>
      <c r="D22" s="376" t="s">
        <v>176</v>
      </c>
      <c r="E22" s="228" t="s">
        <v>544</v>
      </c>
      <c r="F22" s="228" t="s">
        <v>562</v>
      </c>
      <c r="G22" s="474"/>
      <c r="H22" s="229" t="s">
        <v>348</v>
      </c>
      <c r="I22" s="229" t="s">
        <v>349</v>
      </c>
      <c r="J22" s="229" t="s">
        <v>348</v>
      </c>
      <c r="K22" s="229" t="s">
        <v>349</v>
      </c>
      <c r="L22" s="229" t="s">
        <v>348</v>
      </c>
      <c r="M22" s="229" t="s">
        <v>349</v>
      </c>
      <c r="N22" s="229" t="s">
        <v>348</v>
      </c>
      <c r="O22" s="229" t="s">
        <v>349</v>
      </c>
      <c r="P22" s="229" t="s">
        <v>348</v>
      </c>
      <c r="Q22" s="229" t="s">
        <v>349</v>
      </c>
      <c r="R22" s="229" t="s">
        <v>348</v>
      </c>
      <c r="S22" s="229" t="s">
        <v>349</v>
      </c>
      <c r="T22" s="323" t="s">
        <v>545</v>
      </c>
      <c r="U22" s="323" t="s">
        <v>8</v>
      </c>
    </row>
    <row r="23" spans="1:24" ht="19.5" customHeight="1" x14ac:dyDescent="0.25">
      <c r="A23" s="317">
        <v>1</v>
      </c>
      <c r="B23" s="317">
        <v>2</v>
      </c>
      <c r="C23" s="317">
        <v>3</v>
      </c>
      <c r="D23" s="317">
        <v>4</v>
      </c>
      <c r="E23" s="317">
        <v>5</v>
      </c>
      <c r="F23" s="317">
        <v>6</v>
      </c>
      <c r="G23" s="317">
        <v>7</v>
      </c>
      <c r="H23" s="317">
        <v>8</v>
      </c>
      <c r="I23" s="317">
        <v>9</v>
      </c>
      <c r="J23" s="317">
        <v>10</v>
      </c>
      <c r="K23" s="317">
        <v>11</v>
      </c>
      <c r="L23" s="317">
        <v>12</v>
      </c>
      <c r="M23" s="317">
        <v>13</v>
      </c>
      <c r="N23" s="317">
        <v>14</v>
      </c>
      <c r="O23" s="317">
        <v>15</v>
      </c>
      <c r="P23" s="317">
        <v>16</v>
      </c>
      <c r="Q23" s="317">
        <v>17</v>
      </c>
      <c r="R23" s="317">
        <v>18</v>
      </c>
      <c r="S23" s="317">
        <v>19</v>
      </c>
      <c r="T23" s="317">
        <v>20</v>
      </c>
      <c r="U23" s="317">
        <v>21</v>
      </c>
    </row>
    <row r="24" spans="1:24" ht="47.25" customHeight="1" x14ac:dyDescent="0.25">
      <c r="A24" s="346">
        <v>1</v>
      </c>
      <c r="B24" s="347" t="s">
        <v>175</v>
      </c>
      <c r="C24" s="231">
        <f>SUM(C25:C29)</f>
        <v>6.6338254799999996</v>
      </c>
      <c r="D24" s="231">
        <f t="shared" ref="D24" si="0">SUM(D25:D29)</f>
        <v>0</v>
      </c>
      <c r="E24" s="231">
        <f t="shared" ref="E24:S24" si="1">SUM(E25:E29)</f>
        <v>6.6338254799999996</v>
      </c>
      <c r="F24" s="231">
        <f t="shared" si="1"/>
        <v>6.6338254799999996</v>
      </c>
      <c r="G24" s="231">
        <f t="shared" si="1"/>
        <v>0</v>
      </c>
      <c r="H24" s="231">
        <f t="shared" si="1"/>
        <v>0</v>
      </c>
      <c r="I24" s="231">
        <f t="shared" si="1"/>
        <v>0</v>
      </c>
      <c r="J24" s="231">
        <f t="shared" si="1"/>
        <v>0</v>
      </c>
      <c r="K24" s="231">
        <f t="shared" si="1"/>
        <v>0</v>
      </c>
      <c r="L24" s="231">
        <f t="shared" si="1"/>
        <v>0</v>
      </c>
      <c r="M24" s="231">
        <f t="shared" si="1"/>
        <v>0</v>
      </c>
      <c r="N24" s="231">
        <f t="shared" si="1"/>
        <v>0</v>
      </c>
      <c r="O24" s="231">
        <f t="shared" si="1"/>
        <v>0</v>
      </c>
      <c r="P24" s="231">
        <v>6.6338254799999996</v>
      </c>
      <c r="Q24" s="231">
        <f t="shared" si="1"/>
        <v>0</v>
      </c>
      <c r="R24" s="231">
        <f t="shared" ref="R24" si="2">SUM(R25:R29)</f>
        <v>0</v>
      </c>
      <c r="S24" s="231">
        <f t="shared" si="1"/>
        <v>0</v>
      </c>
      <c r="T24" s="231">
        <f>H24+L24+P24</f>
        <v>6.6338254799999996</v>
      </c>
      <c r="U24" s="348">
        <f>J24+N24+R24</f>
        <v>0</v>
      </c>
    </row>
    <row r="25" spans="1:24" ht="24" customHeight="1" x14ac:dyDescent="0.25">
      <c r="A25" s="349" t="s">
        <v>174</v>
      </c>
      <c r="B25" s="283" t="s">
        <v>173</v>
      </c>
      <c r="C25" s="231">
        <v>0</v>
      </c>
      <c r="D25" s="231">
        <v>0</v>
      </c>
      <c r="E25" s="351">
        <f>C25</f>
        <v>0</v>
      </c>
      <c r="F25" s="351">
        <f>E25-G25-J25</f>
        <v>0</v>
      </c>
      <c r="G25" s="232">
        <v>0</v>
      </c>
      <c r="H25" s="232">
        <v>0</v>
      </c>
      <c r="I25" s="232">
        <v>0</v>
      </c>
      <c r="J25" s="232">
        <v>0</v>
      </c>
      <c r="K25" s="232">
        <v>0</v>
      </c>
      <c r="L25" s="232">
        <v>0</v>
      </c>
      <c r="M25" s="232">
        <v>0</v>
      </c>
      <c r="N25" s="232">
        <v>0</v>
      </c>
      <c r="O25" s="232">
        <v>0</v>
      </c>
      <c r="P25" s="232">
        <v>0</v>
      </c>
      <c r="Q25" s="232">
        <v>0</v>
      </c>
      <c r="R25" s="232">
        <v>0</v>
      </c>
      <c r="S25" s="232">
        <v>0</v>
      </c>
      <c r="T25" s="231">
        <f t="shared" ref="T25:T64" si="3">H25+L25+P25</f>
        <v>0</v>
      </c>
      <c r="U25" s="348">
        <f t="shared" ref="U25:U64" si="4">J25+N25+R25</f>
        <v>0</v>
      </c>
    </row>
    <row r="26" spans="1:24" x14ac:dyDescent="0.25">
      <c r="A26" s="349" t="s">
        <v>172</v>
      </c>
      <c r="B26" s="283" t="s">
        <v>171</v>
      </c>
      <c r="C26" s="231">
        <v>0</v>
      </c>
      <c r="D26" s="231">
        <v>0</v>
      </c>
      <c r="E26" s="231">
        <f>C26</f>
        <v>0</v>
      </c>
      <c r="F26" s="351">
        <f t="shared" ref="F26:F64" si="5">E26-G26-J26</f>
        <v>0</v>
      </c>
      <c r="G26" s="232">
        <v>0</v>
      </c>
      <c r="H26" s="232">
        <v>0</v>
      </c>
      <c r="I26" s="232">
        <v>0</v>
      </c>
      <c r="J26" s="232">
        <v>0</v>
      </c>
      <c r="K26" s="232">
        <v>0</v>
      </c>
      <c r="L26" s="232">
        <v>0</v>
      </c>
      <c r="M26" s="232">
        <v>0</v>
      </c>
      <c r="N26" s="232">
        <v>0</v>
      </c>
      <c r="O26" s="232">
        <v>0</v>
      </c>
      <c r="P26" s="232">
        <v>0</v>
      </c>
      <c r="Q26" s="232">
        <v>0</v>
      </c>
      <c r="R26" s="232">
        <v>0</v>
      </c>
      <c r="S26" s="232">
        <v>0</v>
      </c>
      <c r="T26" s="231">
        <f t="shared" si="3"/>
        <v>0</v>
      </c>
      <c r="U26" s="348">
        <f t="shared" si="4"/>
        <v>0</v>
      </c>
    </row>
    <row r="27" spans="1:24" ht="31.5" x14ac:dyDescent="0.25">
      <c r="A27" s="349" t="s">
        <v>170</v>
      </c>
      <c r="B27" s="283" t="s">
        <v>515</v>
      </c>
      <c r="C27" s="231">
        <v>6.6338254799999996</v>
      </c>
      <c r="D27" s="231">
        <v>0</v>
      </c>
      <c r="E27" s="231">
        <f>C27</f>
        <v>6.6338254799999996</v>
      </c>
      <c r="F27" s="351">
        <f t="shared" si="5"/>
        <v>6.6338254799999996</v>
      </c>
      <c r="G27" s="232">
        <v>0</v>
      </c>
      <c r="H27" s="232">
        <v>0</v>
      </c>
      <c r="I27" s="232">
        <v>0</v>
      </c>
      <c r="J27" s="232">
        <v>0</v>
      </c>
      <c r="K27" s="232">
        <v>0</v>
      </c>
      <c r="L27" s="232">
        <v>0</v>
      </c>
      <c r="M27" s="232">
        <v>0</v>
      </c>
      <c r="N27" s="350">
        <v>0</v>
      </c>
      <c r="O27" s="232">
        <v>0</v>
      </c>
      <c r="P27" s="232">
        <v>6.6338254799999996</v>
      </c>
      <c r="Q27" s="232">
        <v>0</v>
      </c>
      <c r="R27" s="232">
        <v>0</v>
      </c>
      <c r="S27" s="232">
        <v>0</v>
      </c>
      <c r="T27" s="231">
        <f t="shared" si="3"/>
        <v>6.6338254799999996</v>
      </c>
      <c r="U27" s="348">
        <f t="shared" si="4"/>
        <v>0</v>
      </c>
    </row>
    <row r="28" spans="1:24" x14ac:dyDescent="0.25">
      <c r="A28" s="349" t="s">
        <v>169</v>
      </c>
      <c r="B28" s="283" t="s">
        <v>546</v>
      </c>
      <c r="C28" s="231">
        <v>0</v>
      </c>
      <c r="D28" s="231">
        <v>0</v>
      </c>
      <c r="E28" s="231">
        <f>C28</f>
        <v>0</v>
      </c>
      <c r="F28" s="351">
        <f t="shared" si="5"/>
        <v>0</v>
      </c>
      <c r="G28" s="232">
        <v>0</v>
      </c>
      <c r="H28" s="232">
        <v>0</v>
      </c>
      <c r="I28" s="232">
        <v>0</v>
      </c>
      <c r="J28" s="232">
        <v>0</v>
      </c>
      <c r="K28" s="232">
        <v>0</v>
      </c>
      <c r="L28" s="232">
        <v>0</v>
      </c>
      <c r="M28" s="232">
        <v>0</v>
      </c>
      <c r="N28" s="232">
        <v>0</v>
      </c>
      <c r="O28" s="232">
        <v>0</v>
      </c>
      <c r="P28" s="232">
        <v>0</v>
      </c>
      <c r="Q28" s="232">
        <v>0</v>
      </c>
      <c r="R28" s="232">
        <v>0</v>
      </c>
      <c r="S28" s="232">
        <v>0</v>
      </c>
      <c r="T28" s="231">
        <f t="shared" si="3"/>
        <v>0</v>
      </c>
      <c r="U28" s="348">
        <f t="shared" si="4"/>
        <v>0</v>
      </c>
    </row>
    <row r="29" spans="1:24" x14ac:dyDescent="0.25">
      <c r="A29" s="349" t="s">
        <v>168</v>
      </c>
      <c r="B29" s="58" t="s">
        <v>167</v>
      </c>
      <c r="C29" s="231">
        <v>0</v>
      </c>
      <c r="D29" s="231">
        <v>0</v>
      </c>
      <c r="E29" s="231">
        <f>C29</f>
        <v>0</v>
      </c>
      <c r="F29" s="351">
        <f t="shared" si="5"/>
        <v>0</v>
      </c>
      <c r="G29" s="232">
        <v>0</v>
      </c>
      <c r="H29" s="232">
        <v>0</v>
      </c>
      <c r="I29" s="232">
        <v>0</v>
      </c>
      <c r="J29" s="232">
        <v>0</v>
      </c>
      <c r="K29" s="232">
        <v>0</v>
      </c>
      <c r="L29" s="232">
        <v>0</v>
      </c>
      <c r="M29" s="232">
        <v>0</v>
      </c>
      <c r="N29" s="232">
        <v>0</v>
      </c>
      <c r="O29" s="232">
        <v>0</v>
      </c>
      <c r="P29" s="232">
        <v>0</v>
      </c>
      <c r="Q29" s="232">
        <v>0</v>
      </c>
      <c r="R29" s="232">
        <v>0</v>
      </c>
      <c r="S29" s="232">
        <v>0</v>
      </c>
      <c r="T29" s="231">
        <f t="shared" si="3"/>
        <v>0</v>
      </c>
      <c r="U29" s="348">
        <f t="shared" si="4"/>
        <v>0</v>
      </c>
    </row>
    <row r="30" spans="1:24" s="128" customFormat="1" ht="47.25" x14ac:dyDescent="0.25">
      <c r="A30" s="346" t="s">
        <v>60</v>
      </c>
      <c r="B30" s="347" t="s">
        <v>166</v>
      </c>
      <c r="C30" s="231">
        <f>SUM(C31:C34)</f>
        <v>5.5281879000000007</v>
      </c>
      <c r="D30" s="231">
        <f t="shared" ref="D30" si="6">SUM(D31:D34)</f>
        <v>0</v>
      </c>
      <c r="E30" s="231">
        <f t="shared" ref="E30:S30" si="7">SUM(E31:E34)</f>
        <v>5.5281879000000007</v>
      </c>
      <c r="F30" s="231">
        <f t="shared" si="7"/>
        <v>5.5281879000000007</v>
      </c>
      <c r="G30" s="231">
        <f t="shared" si="7"/>
        <v>0</v>
      </c>
      <c r="H30" s="231">
        <f t="shared" si="7"/>
        <v>0</v>
      </c>
      <c r="I30" s="231">
        <f t="shared" si="7"/>
        <v>0</v>
      </c>
      <c r="J30" s="231">
        <f t="shared" si="7"/>
        <v>0</v>
      </c>
      <c r="K30" s="231">
        <f t="shared" si="7"/>
        <v>0</v>
      </c>
      <c r="L30" s="231">
        <f t="shared" si="7"/>
        <v>0</v>
      </c>
      <c r="M30" s="231">
        <f t="shared" si="7"/>
        <v>0</v>
      </c>
      <c r="N30" s="231">
        <f t="shared" si="7"/>
        <v>0</v>
      </c>
      <c r="O30" s="231">
        <f t="shared" si="7"/>
        <v>0</v>
      </c>
      <c r="P30" s="231">
        <f t="shared" si="7"/>
        <v>5.5281879000000007</v>
      </c>
      <c r="Q30" s="231">
        <f t="shared" si="7"/>
        <v>0</v>
      </c>
      <c r="R30" s="231">
        <f t="shared" ref="R30" si="8">SUM(R31:R34)</f>
        <v>0</v>
      </c>
      <c r="S30" s="231">
        <f t="shared" si="7"/>
        <v>0</v>
      </c>
      <c r="T30" s="231">
        <f t="shared" si="3"/>
        <v>5.5281879000000007</v>
      </c>
      <c r="U30" s="348">
        <f t="shared" si="4"/>
        <v>0</v>
      </c>
    </row>
    <row r="31" spans="1:24" x14ac:dyDescent="0.25">
      <c r="A31" s="346" t="s">
        <v>165</v>
      </c>
      <c r="B31" s="283" t="s">
        <v>164</v>
      </c>
      <c r="C31" s="231">
        <v>0.27433489999999999</v>
      </c>
      <c r="D31" s="231">
        <v>0</v>
      </c>
      <c r="E31" s="231">
        <f t="shared" ref="E31:E64" si="9">C31</f>
        <v>0.27433489999999999</v>
      </c>
      <c r="F31" s="351">
        <f t="shared" si="5"/>
        <v>0.27433489999999999</v>
      </c>
      <c r="G31" s="232">
        <v>0</v>
      </c>
      <c r="H31" s="232">
        <v>0</v>
      </c>
      <c r="I31" s="232">
        <v>0</v>
      </c>
      <c r="J31" s="232">
        <v>0</v>
      </c>
      <c r="K31" s="232">
        <v>0</v>
      </c>
      <c r="L31" s="232">
        <v>0</v>
      </c>
      <c r="M31" s="232">
        <v>0</v>
      </c>
      <c r="N31" s="232">
        <v>0</v>
      </c>
      <c r="O31" s="232">
        <v>0</v>
      </c>
      <c r="P31" s="232">
        <v>0.27433489999999999</v>
      </c>
      <c r="Q31" s="232">
        <v>0</v>
      </c>
      <c r="R31" s="232">
        <v>0</v>
      </c>
      <c r="S31" s="232">
        <v>0</v>
      </c>
      <c r="T31" s="231">
        <f t="shared" si="3"/>
        <v>0.27433489999999999</v>
      </c>
      <c r="U31" s="348">
        <f t="shared" si="4"/>
        <v>0</v>
      </c>
    </row>
    <row r="32" spans="1:24" ht="31.5" x14ac:dyDescent="0.25">
      <c r="A32" s="346" t="s">
        <v>163</v>
      </c>
      <c r="B32" s="283" t="s">
        <v>162</v>
      </c>
      <c r="C32" s="231">
        <v>5.2538530000000003</v>
      </c>
      <c r="D32" s="231">
        <v>0</v>
      </c>
      <c r="E32" s="231">
        <f t="shared" si="9"/>
        <v>5.2538530000000003</v>
      </c>
      <c r="F32" s="351">
        <f t="shared" si="5"/>
        <v>5.2538530000000003</v>
      </c>
      <c r="G32" s="232">
        <v>0</v>
      </c>
      <c r="H32" s="232">
        <v>0</v>
      </c>
      <c r="I32" s="232">
        <v>0</v>
      </c>
      <c r="J32" s="232">
        <v>0</v>
      </c>
      <c r="K32" s="232">
        <v>0</v>
      </c>
      <c r="L32" s="232">
        <v>0</v>
      </c>
      <c r="M32" s="232">
        <v>0</v>
      </c>
      <c r="N32" s="232">
        <v>0</v>
      </c>
      <c r="O32" s="232">
        <v>0</v>
      </c>
      <c r="P32" s="232">
        <v>5.2538530000000003</v>
      </c>
      <c r="Q32" s="232">
        <v>0</v>
      </c>
      <c r="R32" s="232">
        <v>0</v>
      </c>
      <c r="S32" s="232">
        <v>0</v>
      </c>
      <c r="T32" s="231">
        <f t="shared" si="3"/>
        <v>5.2538530000000003</v>
      </c>
      <c r="U32" s="348">
        <f t="shared" si="4"/>
        <v>0</v>
      </c>
    </row>
    <row r="33" spans="1:21" x14ac:dyDescent="0.25">
      <c r="A33" s="346" t="s">
        <v>161</v>
      </c>
      <c r="B33" s="283" t="s">
        <v>160</v>
      </c>
      <c r="C33" s="231">
        <v>0</v>
      </c>
      <c r="D33" s="231">
        <v>0</v>
      </c>
      <c r="E33" s="231">
        <f t="shared" si="9"/>
        <v>0</v>
      </c>
      <c r="F33" s="351">
        <f t="shared" si="5"/>
        <v>0</v>
      </c>
      <c r="G33" s="232">
        <v>0</v>
      </c>
      <c r="H33" s="232">
        <v>0</v>
      </c>
      <c r="I33" s="232">
        <v>0</v>
      </c>
      <c r="J33" s="232">
        <v>0</v>
      </c>
      <c r="K33" s="232">
        <v>0</v>
      </c>
      <c r="L33" s="232">
        <v>0</v>
      </c>
      <c r="M33" s="232">
        <v>0</v>
      </c>
      <c r="N33" s="232">
        <v>0</v>
      </c>
      <c r="O33" s="232">
        <v>0</v>
      </c>
      <c r="P33" s="232">
        <v>0</v>
      </c>
      <c r="Q33" s="232">
        <v>0</v>
      </c>
      <c r="R33" s="232">
        <v>0</v>
      </c>
      <c r="S33" s="232">
        <v>0</v>
      </c>
      <c r="T33" s="231">
        <f t="shared" si="3"/>
        <v>0</v>
      </c>
      <c r="U33" s="348">
        <f t="shared" si="4"/>
        <v>0</v>
      </c>
    </row>
    <row r="34" spans="1:21" x14ac:dyDescent="0.25">
      <c r="A34" s="346" t="s">
        <v>159</v>
      </c>
      <c r="B34" s="283" t="s">
        <v>158</v>
      </c>
      <c r="C34" s="231">
        <v>0</v>
      </c>
      <c r="D34" s="231">
        <v>0</v>
      </c>
      <c r="E34" s="231">
        <f t="shared" si="9"/>
        <v>0</v>
      </c>
      <c r="F34" s="351">
        <f t="shared" si="5"/>
        <v>0</v>
      </c>
      <c r="G34" s="232">
        <v>0</v>
      </c>
      <c r="H34" s="232">
        <v>0</v>
      </c>
      <c r="I34" s="232">
        <v>0</v>
      </c>
      <c r="J34" s="232">
        <v>0</v>
      </c>
      <c r="K34" s="232">
        <v>0</v>
      </c>
      <c r="L34" s="232">
        <v>0</v>
      </c>
      <c r="M34" s="232">
        <v>0</v>
      </c>
      <c r="N34" s="232">
        <v>0</v>
      </c>
      <c r="O34" s="232">
        <v>0</v>
      </c>
      <c r="P34" s="232">
        <v>0</v>
      </c>
      <c r="Q34" s="232">
        <v>0</v>
      </c>
      <c r="R34" s="232">
        <v>0</v>
      </c>
      <c r="S34" s="232">
        <v>0</v>
      </c>
      <c r="T34" s="231">
        <f t="shared" si="3"/>
        <v>0</v>
      </c>
      <c r="U34" s="348">
        <f t="shared" si="4"/>
        <v>0</v>
      </c>
    </row>
    <row r="35" spans="1:21" s="128" customFormat="1" ht="31.5" x14ac:dyDescent="0.25">
      <c r="A35" s="346" t="s">
        <v>59</v>
      </c>
      <c r="B35" s="347" t="s">
        <v>157</v>
      </c>
      <c r="C35" s="231">
        <v>0</v>
      </c>
      <c r="D35" s="231">
        <v>0</v>
      </c>
      <c r="E35" s="351">
        <f t="shared" si="9"/>
        <v>0</v>
      </c>
      <c r="F35" s="351">
        <f t="shared" si="5"/>
        <v>0</v>
      </c>
      <c r="G35" s="231">
        <v>0</v>
      </c>
      <c r="H35" s="231">
        <v>0</v>
      </c>
      <c r="I35" s="231">
        <v>0</v>
      </c>
      <c r="J35" s="231">
        <v>0</v>
      </c>
      <c r="K35" s="231">
        <v>0</v>
      </c>
      <c r="L35" s="231">
        <v>0</v>
      </c>
      <c r="M35" s="231">
        <v>0</v>
      </c>
      <c r="N35" s="352">
        <v>0</v>
      </c>
      <c r="O35" s="231">
        <v>0</v>
      </c>
      <c r="P35" s="231">
        <v>0</v>
      </c>
      <c r="Q35" s="231">
        <v>0</v>
      </c>
      <c r="R35" s="231">
        <v>0</v>
      </c>
      <c r="S35" s="231">
        <v>0</v>
      </c>
      <c r="T35" s="231">
        <f t="shared" si="3"/>
        <v>0</v>
      </c>
      <c r="U35" s="348">
        <f t="shared" si="4"/>
        <v>0</v>
      </c>
    </row>
    <row r="36" spans="1:21" ht="31.5" x14ac:dyDescent="0.25">
      <c r="A36" s="349" t="s">
        <v>156</v>
      </c>
      <c r="B36" s="353" t="s">
        <v>155</v>
      </c>
      <c r="C36" s="354">
        <v>0</v>
      </c>
      <c r="D36" s="231">
        <v>0</v>
      </c>
      <c r="E36" s="231">
        <f t="shared" si="9"/>
        <v>0</v>
      </c>
      <c r="F36" s="351">
        <f t="shared" si="5"/>
        <v>0</v>
      </c>
      <c r="G36" s="232">
        <v>0</v>
      </c>
      <c r="H36" s="232">
        <v>0</v>
      </c>
      <c r="I36" s="232">
        <v>0</v>
      </c>
      <c r="J36" s="232">
        <v>0</v>
      </c>
      <c r="K36" s="232">
        <v>0</v>
      </c>
      <c r="L36" s="232">
        <v>0</v>
      </c>
      <c r="M36" s="232">
        <v>0</v>
      </c>
      <c r="N36" s="232">
        <v>0</v>
      </c>
      <c r="O36" s="232">
        <v>0</v>
      </c>
      <c r="P36" s="232">
        <v>0</v>
      </c>
      <c r="Q36" s="232">
        <v>0</v>
      </c>
      <c r="R36" s="232">
        <v>0</v>
      </c>
      <c r="S36" s="232">
        <v>0</v>
      </c>
      <c r="T36" s="231">
        <f t="shared" si="3"/>
        <v>0</v>
      </c>
      <c r="U36" s="348">
        <f t="shared" si="4"/>
        <v>0</v>
      </c>
    </row>
    <row r="37" spans="1:21" x14ac:dyDescent="0.25">
      <c r="A37" s="349" t="s">
        <v>154</v>
      </c>
      <c r="B37" s="353" t="s">
        <v>144</v>
      </c>
      <c r="C37" s="354">
        <v>0</v>
      </c>
      <c r="D37" s="231">
        <v>0</v>
      </c>
      <c r="E37" s="231">
        <f t="shared" si="9"/>
        <v>0</v>
      </c>
      <c r="F37" s="351">
        <f t="shared" si="5"/>
        <v>0</v>
      </c>
      <c r="G37" s="232">
        <v>0</v>
      </c>
      <c r="H37" s="232">
        <v>0</v>
      </c>
      <c r="I37" s="232">
        <v>0</v>
      </c>
      <c r="J37" s="232">
        <v>0</v>
      </c>
      <c r="K37" s="232">
        <v>0</v>
      </c>
      <c r="L37" s="232">
        <v>0</v>
      </c>
      <c r="M37" s="232">
        <v>0</v>
      </c>
      <c r="N37" s="350">
        <v>0</v>
      </c>
      <c r="O37" s="232">
        <v>0</v>
      </c>
      <c r="P37" s="232">
        <v>0</v>
      </c>
      <c r="Q37" s="232">
        <v>0</v>
      </c>
      <c r="R37" s="232">
        <v>0</v>
      </c>
      <c r="S37" s="232">
        <v>0</v>
      </c>
      <c r="T37" s="231">
        <f t="shared" si="3"/>
        <v>0</v>
      </c>
      <c r="U37" s="348">
        <f t="shared" si="4"/>
        <v>0</v>
      </c>
    </row>
    <row r="38" spans="1:21" x14ac:dyDescent="0.25">
      <c r="A38" s="349" t="s">
        <v>153</v>
      </c>
      <c r="B38" s="353" t="s">
        <v>142</v>
      </c>
      <c r="C38" s="354">
        <v>0</v>
      </c>
      <c r="D38" s="231">
        <v>0</v>
      </c>
      <c r="E38" s="231">
        <f t="shared" si="9"/>
        <v>0</v>
      </c>
      <c r="F38" s="351">
        <f t="shared" si="5"/>
        <v>0</v>
      </c>
      <c r="G38" s="232">
        <v>0</v>
      </c>
      <c r="H38" s="232">
        <v>0</v>
      </c>
      <c r="I38" s="232">
        <v>0</v>
      </c>
      <c r="J38" s="232">
        <v>0</v>
      </c>
      <c r="K38" s="232">
        <v>0</v>
      </c>
      <c r="L38" s="232">
        <v>0</v>
      </c>
      <c r="M38" s="232">
        <v>0</v>
      </c>
      <c r="N38" s="232">
        <v>0</v>
      </c>
      <c r="O38" s="232">
        <v>0</v>
      </c>
      <c r="P38" s="232">
        <v>0</v>
      </c>
      <c r="Q38" s="232">
        <v>0</v>
      </c>
      <c r="R38" s="232">
        <v>0</v>
      </c>
      <c r="S38" s="232">
        <v>0</v>
      </c>
      <c r="T38" s="231">
        <f t="shared" si="3"/>
        <v>0</v>
      </c>
      <c r="U38" s="348">
        <f t="shared" si="4"/>
        <v>0</v>
      </c>
    </row>
    <row r="39" spans="1:21" ht="31.5" x14ac:dyDescent="0.25">
      <c r="A39" s="349" t="s">
        <v>152</v>
      </c>
      <c r="B39" s="283" t="s">
        <v>140</v>
      </c>
      <c r="C39" s="231">
        <v>0</v>
      </c>
      <c r="D39" s="231">
        <v>0</v>
      </c>
      <c r="E39" s="231">
        <f t="shared" si="9"/>
        <v>0</v>
      </c>
      <c r="F39" s="351">
        <f t="shared" si="5"/>
        <v>0</v>
      </c>
      <c r="G39" s="232">
        <v>0</v>
      </c>
      <c r="H39" s="232">
        <v>0</v>
      </c>
      <c r="I39" s="232">
        <v>0</v>
      </c>
      <c r="J39" s="232">
        <v>0</v>
      </c>
      <c r="K39" s="232">
        <v>0</v>
      </c>
      <c r="L39" s="232">
        <v>0</v>
      </c>
      <c r="M39" s="232">
        <v>0</v>
      </c>
      <c r="N39" s="232">
        <v>0</v>
      </c>
      <c r="O39" s="232">
        <v>0</v>
      </c>
      <c r="P39" s="232">
        <v>0</v>
      </c>
      <c r="Q39" s="232">
        <v>0</v>
      </c>
      <c r="R39" s="232">
        <v>0</v>
      </c>
      <c r="S39" s="232">
        <v>0</v>
      </c>
      <c r="T39" s="231">
        <f t="shared" si="3"/>
        <v>0</v>
      </c>
      <c r="U39" s="348">
        <f t="shared" si="4"/>
        <v>0</v>
      </c>
    </row>
    <row r="40" spans="1:21" ht="31.5" x14ac:dyDescent="0.25">
      <c r="A40" s="349" t="s">
        <v>151</v>
      </c>
      <c r="B40" s="283" t="s">
        <v>138</v>
      </c>
      <c r="C40" s="231">
        <v>0</v>
      </c>
      <c r="D40" s="231">
        <v>0</v>
      </c>
      <c r="E40" s="231">
        <f t="shared" si="9"/>
        <v>0</v>
      </c>
      <c r="F40" s="351">
        <f t="shared" si="5"/>
        <v>0</v>
      </c>
      <c r="G40" s="232">
        <v>0</v>
      </c>
      <c r="H40" s="232">
        <v>0</v>
      </c>
      <c r="I40" s="232">
        <v>0</v>
      </c>
      <c r="J40" s="232">
        <v>0</v>
      </c>
      <c r="K40" s="232">
        <v>0</v>
      </c>
      <c r="L40" s="232">
        <v>0</v>
      </c>
      <c r="M40" s="232">
        <v>0</v>
      </c>
      <c r="N40" s="232">
        <v>0</v>
      </c>
      <c r="O40" s="232">
        <v>0</v>
      </c>
      <c r="P40" s="232">
        <v>0</v>
      </c>
      <c r="Q40" s="232">
        <v>0</v>
      </c>
      <c r="R40" s="232">
        <v>0</v>
      </c>
      <c r="S40" s="232">
        <v>0</v>
      </c>
      <c r="T40" s="231">
        <f t="shared" si="3"/>
        <v>0</v>
      </c>
      <c r="U40" s="348">
        <f t="shared" si="4"/>
        <v>0</v>
      </c>
    </row>
    <row r="41" spans="1:21" x14ac:dyDescent="0.25">
      <c r="A41" s="349" t="s">
        <v>150</v>
      </c>
      <c r="B41" s="283" t="s">
        <v>136</v>
      </c>
      <c r="C41" s="231">
        <f>'3.2 паспорт Техсостояние ЛЭП'!R25</f>
        <v>1.7</v>
      </c>
      <c r="D41" s="231">
        <v>0</v>
      </c>
      <c r="E41" s="231">
        <f t="shared" si="9"/>
        <v>1.7</v>
      </c>
      <c r="F41" s="351">
        <f t="shared" si="5"/>
        <v>1.7</v>
      </c>
      <c r="G41" s="232">
        <v>0</v>
      </c>
      <c r="H41" s="232">
        <v>0</v>
      </c>
      <c r="I41" s="232">
        <v>0</v>
      </c>
      <c r="J41" s="232">
        <v>0</v>
      </c>
      <c r="K41" s="232">
        <v>0</v>
      </c>
      <c r="L41" s="232">
        <v>0</v>
      </c>
      <c r="M41" s="232">
        <v>0</v>
      </c>
      <c r="N41" s="232">
        <v>0</v>
      </c>
      <c r="O41" s="232">
        <v>0</v>
      </c>
      <c r="P41" s="232">
        <v>1.7</v>
      </c>
      <c r="Q41" s="232">
        <v>0</v>
      </c>
      <c r="R41" s="232">
        <v>0</v>
      </c>
      <c r="S41" s="232">
        <v>0</v>
      </c>
      <c r="T41" s="231">
        <f t="shared" si="3"/>
        <v>1.7</v>
      </c>
      <c r="U41" s="348">
        <f t="shared" si="4"/>
        <v>0</v>
      </c>
    </row>
    <row r="42" spans="1:21" ht="18.75" x14ac:dyDescent="0.25">
      <c r="A42" s="349" t="s">
        <v>149</v>
      </c>
      <c r="B42" s="353" t="s">
        <v>134</v>
      </c>
      <c r="C42" s="354">
        <v>0</v>
      </c>
      <c r="D42" s="231">
        <v>0</v>
      </c>
      <c r="E42" s="231">
        <f t="shared" si="9"/>
        <v>0</v>
      </c>
      <c r="F42" s="351">
        <f t="shared" si="5"/>
        <v>0</v>
      </c>
      <c r="G42" s="232">
        <v>0</v>
      </c>
      <c r="H42" s="232">
        <v>0</v>
      </c>
      <c r="I42" s="232">
        <v>0</v>
      </c>
      <c r="J42" s="232">
        <v>0</v>
      </c>
      <c r="K42" s="232">
        <v>0</v>
      </c>
      <c r="L42" s="232">
        <v>0</v>
      </c>
      <c r="M42" s="232">
        <v>0</v>
      </c>
      <c r="N42" s="232">
        <v>0</v>
      </c>
      <c r="O42" s="232">
        <v>0</v>
      </c>
      <c r="P42" s="232">
        <v>0</v>
      </c>
      <c r="Q42" s="232">
        <v>0</v>
      </c>
      <c r="R42" s="232">
        <v>0</v>
      </c>
      <c r="S42" s="232">
        <v>0</v>
      </c>
      <c r="T42" s="231">
        <f t="shared" si="3"/>
        <v>0</v>
      </c>
      <c r="U42" s="348">
        <f t="shared" si="4"/>
        <v>0</v>
      </c>
    </row>
    <row r="43" spans="1:21" s="128" customFormat="1" x14ac:dyDescent="0.25">
      <c r="A43" s="346" t="s">
        <v>58</v>
      </c>
      <c r="B43" s="347" t="s">
        <v>148</v>
      </c>
      <c r="C43" s="231">
        <v>0</v>
      </c>
      <c r="D43" s="231">
        <v>0</v>
      </c>
      <c r="E43" s="351">
        <f t="shared" si="9"/>
        <v>0</v>
      </c>
      <c r="F43" s="351">
        <f t="shared" si="5"/>
        <v>0</v>
      </c>
      <c r="G43" s="231">
        <v>0</v>
      </c>
      <c r="H43" s="231">
        <v>0</v>
      </c>
      <c r="I43" s="231">
        <v>0</v>
      </c>
      <c r="J43" s="231">
        <v>0</v>
      </c>
      <c r="K43" s="231">
        <v>0</v>
      </c>
      <c r="L43" s="231">
        <v>0</v>
      </c>
      <c r="M43" s="231">
        <v>0</v>
      </c>
      <c r="N43" s="352">
        <v>0</v>
      </c>
      <c r="O43" s="231">
        <v>0</v>
      </c>
      <c r="P43" s="231">
        <v>0</v>
      </c>
      <c r="Q43" s="231">
        <v>0</v>
      </c>
      <c r="R43" s="231">
        <v>0</v>
      </c>
      <c r="S43" s="231">
        <v>0</v>
      </c>
      <c r="T43" s="231">
        <f t="shared" si="3"/>
        <v>0</v>
      </c>
      <c r="U43" s="348">
        <f t="shared" si="4"/>
        <v>0</v>
      </c>
    </row>
    <row r="44" spans="1:21" x14ac:dyDescent="0.25">
      <c r="A44" s="349" t="s">
        <v>147</v>
      </c>
      <c r="B44" s="283" t="s">
        <v>146</v>
      </c>
      <c r="C44" s="231">
        <f t="shared" ref="C44:C48" si="10">C36</f>
        <v>0</v>
      </c>
      <c r="D44" s="231">
        <v>0</v>
      </c>
      <c r="E44" s="231">
        <f t="shared" si="9"/>
        <v>0</v>
      </c>
      <c r="F44" s="351">
        <f t="shared" si="5"/>
        <v>0</v>
      </c>
      <c r="G44" s="232">
        <v>0</v>
      </c>
      <c r="H44" s="232">
        <v>0</v>
      </c>
      <c r="I44" s="232">
        <v>0</v>
      </c>
      <c r="J44" s="232">
        <v>0</v>
      </c>
      <c r="K44" s="232">
        <v>0</v>
      </c>
      <c r="L44" s="232">
        <v>0</v>
      </c>
      <c r="M44" s="232">
        <v>0</v>
      </c>
      <c r="N44" s="232">
        <v>0</v>
      </c>
      <c r="O44" s="232">
        <v>0</v>
      </c>
      <c r="P44" s="232">
        <v>0</v>
      </c>
      <c r="Q44" s="232">
        <v>0</v>
      </c>
      <c r="R44" s="232">
        <v>0</v>
      </c>
      <c r="S44" s="232">
        <v>0</v>
      </c>
      <c r="T44" s="231">
        <f t="shared" si="3"/>
        <v>0</v>
      </c>
      <c r="U44" s="348">
        <f t="shared" si="4"/>
        <v>0</v>
      </c>
    </row>
    <row r="45" spans="1:21" x14ac:dyDescent="0.25">
      <c r="A45" s="349" t="s">
        <v>145</v>
      </c>
      <c r="B45" s="283" t="s">
        <v>144</v>
      </c>
      <c r="C45" s="231">
        <f t="shared" si="10"/>
        <v>0</v>
      </c>
      <c r="D45" s="231">
        <v>0</v>
      </c>
      <c r="E45" s="231">
        <f t="shared" si="9"/>
        <v>0</v>
      </c>
      <c r="F45" s="351">
        <f t="shared" si="5"/>
        <v>0</v>
      </c>
      <c r="G45" s="232">
        <v>0</v>
      </c>
      <c r="H45" s="232">
        <v>0</v>
      </c>
      <c r="I45" s="232">
        <v>0</v>
      </c>
      <c r="J45" s="232">
        <v>0</v>
      </c>
      <c r="K45" s="232">
        <v>0</v>
      </c>
      <c r="L45" s="232">
        <v>0</v>
      </c>
      <c r="M45" s="232">
        <v>0</v>
      </c>
      <c r="N45" s="350">
        <v>0</v>
      </c>
      <c r="O45" s="232">
        <v>0</v>
      </c>
      <c r="P45" s="232">
        <v>0</v>
      </c>
      <c r="Q45" s="232">
        <v>0</v>
      </c>
      <c r="R45" s="232">
        <v>0</v>
      </c>
      <c r="S45" s="232">
        <v>0</v>
      </c>
      <c r="T45" s="231">
        <f t="shared" si="3"/>
        <v>0</v>
      </c>
      <c r="U45" s="348">
        <f t="shared" si="4"/>
        <v>0</v>
      </c>
    </row>
    <row r="46" spans="1:21" x14ac:dyDescent="0.25">
      <c r="A46" s="349" t="s">
        <v>143</v>
      </c>
      <c r="B46" s="283" t="s">
        <v>142</v>
      </c>
      <c r="C46" s="231">
        <f t="shared" si="10"/>
        <v>0</v>
      </c>
      <c r="D46" s="231">
        <v>0</v>
      </c>
      <c r="E46" s="231">
        <f t="shared" si="9"/>
        <v>0</v>
      </c>
      <c r="F46" s="351">
        <f t="shared" si="5"/>
        <v>0</v>
      </c>
      <c r="G46" s="232">
        <v>0</v>
      </c>
      <c r="H46" s="232">
        <v>0</v>
      </c>
      <c r="I46" s="232">
        <v>0</v>
      </c>
      <c r="J46" s="232">
        <v>0</v>
      </c>
      <c r="K46" s="232">
        <v>0</v>
      </c>
      <c r="L46" s="232">
        <v>0</v>
      </c>
      <c r="M46" s="232">
        <v>0</v>
      </c>
      <c r="N46" s="232">
        <v>0</v>
      </c>
      <c r="O46" s="232">
        <v>0</v>
      </c>
      <c r="P46" s="232">
        <v>0</v>
      </c>
      <c r="Q46" s="232">
        <v>0</v>
      </c>
      <c r="R46" s="232">
        <v>0</v>
      </c>
      <c r="S46" s="232">
        <v>0</v>
      </c>
      <c r="T46" s="231">
        <f t="shared" si="3"/>
        <v>0</v>
      </c>
      <c r="U46" s="348">
        <f t="shared" si="4"/>
        <v>0</v>
      </c>
    </row>
    <row r="47" spans="1:21" ht="31.5" x14ac:dyDescent="0.25">
      <c r="A47" s="349" t="s">
        <v>141</v>
      </c>
      <c r="B47" s="283" t="s">
        <v>140</v>
      </c>
      <c r="C47" s="231">
        <f t="shared" si="10"/>
        <v>0</v>
      </c>
      <c r="D47" s="231">
        <v>0</v>
      </c>
      <c r="E47" s="231">
        <f t="shared" si="9"/>
        <v>0</v>
      </c>
      <c r="F47" s="351">
        <f t="shared" si="5"/>
        <v>0</v>
      </c>
      <c r="G47" s="232">
        <v>0</v>
      </c>
      <c r="H47" s="232">
        <v>0</v>
      </c>
      <c r="I47" s="232">
        <v>0</v>
      </c>
      <c r="J47" s="232">
        <v>0</v>
      </c>
      <c r="K47" s="232">
        <v>0</v>
      </c>
      <c r="L47" s="232">
        <v>0</v>
      </c>
      <c r="M47" s="232">
        <v>0</v>
      </c>
      <c r="N47" s="232">
        <v>0</v>
      </c>
      <c r="O47" s="232">
        <v>0</v>
      </c>
      <c r="P47" s="232">
        <v>0</v>
      </c>
      <c r="Q47" s="232">
        <v>0</v>
      </c>
      <c r="R47" s="232">
        <v>0</v>
      </c>
      <c r="S47" s="232">
        <v>0</v>
      </c>
      <c r="T47" s="231">
        <f t="shared" si="3"/>
        <v>0</v>
      </c>
      <c r="U47" s="348">
        <f t="shared" si="4"/>
        <v>0</v>
      </c>
    </row>
    <row r="48" spans="1:21" ht="31.5" x14ac:dyDescent="0.25">
      <c r="A48" s="349" t="s">
        <v>139</v>
      </c>
      <c r="B48" s="283" t="s">
        <v>138</v>
      </c>
      <c r="C48" s="231">
        <f t="shared" si="10"/>
        <v>0</v>
      </c>
      <c r="D48" s="231">
        <v>0</v>
      </c>
      <c r="E48" s="231">
        <f t="shared" si="9"/>
        <v>0</v>
      </c>
      <c r="F48" s="351">
        <f t="shared" si="5"/>
        <v>0</v>
      </c>
      <c r="G48" s="232">
        <v>0</v>
      </c>
      <c r="H48" s="232">
        <v>0</v>
      </c>
      <c r="I48" s="232">
        <v>0</v>
      </c>
      <c r="J48" s="232">
        <v>0</v>
      </c>
      <c r="K48" s="232">
        <v>0</v>
      </c>
      <c r="L48" s="232">
        <v>0</v>
      </c>
      <c r="M48" s="232">
        <v>0</v>
      </c>
      <c r="N48" s="232">
        <v>0</v>
      </c>
      <c r="O48" s="232">
        <v>0</v>
      </c>
      <c r="P48" s="232">
        <v>0</v>
      </c>
      <c r="Q48" s="232">
        <v>0</v>
      </c>
      <c r="R48" s="232">
        <v>0</v>
      </c>
      <c r="S48" s="232">
        <v>0</v>
      </c>
      <c r="T48" s="231">
        <f t="shared" si="3"/>
        <v>0</v>
      </c>
      <c r="U48" s="348">
        <f t="shared" si="4"/>
        <v>0</v>
      </c>
    </row>
    <row r="49" spans="1:21" x14ac:dyDescent="0.25">
      <c r="A49" s="349" t="s">
        <v>137</v>
      </c>
      <c r="B49" s="283" t="s">
        <v>136</v>
      </c>
      <c r="C49" s="231">
        <f>C41</f>
        <v>1.7</v>
      </c>
      <c r="D49" s="231">
        <v>0</v>
      </c>
      <c r="E49" s="231">
        <f t="shared" si="9"/>
        <v>1.7</v>
      </c>
      <c r="F49" s="351">
        <f t="shared" si="5"/>
        <v>1.7</v>
      </c>
      <c r="G49" s="232">
        <v>0</v>
      </c>
      <c r="H49" s="232">
        <v>0</v>
      </c>
      <c r="I49" s="232">
        <v>0</v>
      </c>
      <c r="J49" s="232">
        <v>0</v>
      </c>
      <c r="K49" s="232">
        <v>0</v>
      </c>
      <c r="L49" s="232">
        <v>0</v>
      </c>
      <c r="M49" s="232">
        <v>0</v>
      </c>
      <c r="N49" s="232">
        <v>0</v>
      </c>
      <c r="O49" s="232">
        <v>0</v>
      </c>
      <c r="P49" s="232">
        <v>1.7</v>
      </c>
      <c r="Q49" s="232">
        <v>0</v>
      </c>
      <c r="R49" s="232">
        <v>0</v>
      </c>
      <c r="S49" s="232">
        <v>0</v>
      </c>
      <c r="T49" s="231">
        <f t="shared" si="3"/>
        <v>1.7</v>
      </c>
      <c r="U49" s="348">
        <f t="shared" si="4"/>
        <v>0</v>
      </c>
    </row>
    <row r="50" spans="1:21" ht="18.75" x14ac:dyDescent="0.25">
      <c r="A50" s="349" t="s">
        <v>135</v>
      </c>
      <c r="B50" s="353" t="s">
        <v>134</v>
      </c>
      <c r="C50" s="231">
        <f t="shared" ref="C50" si="11">C42</f>
        <v>0</v>
      </c>
      <c r="D50" s="231">
        <v>0</v>
      </c>
      <c r="E50" s="231">
        <f t="shared" si="9"/>
        <v>0</v>
      </c>
      <c r="F50" s="351">
        <f t="shared" si="5"/>
        <v>0</v>
      </c>
      <c r="G50" s="232">
        <v>0</v>
      </c>
      <c r="H50" s="232">
        <v>0</v>
      </c>
      <c r="I50" s="232">
        <v>0</v>
      </c>
      <c r="J50" s="232">
        <v>0</v>
      </c>
      <c r="K50" s="232">
        <v>0</v>
      </c>
      <c r="L50" s="232">
        <v>0</v>
      </c>
      <c r="M50" s="232">
        <v>0</v>
      </c>
      <c r="N50" s="232">
        <v>0</v>
      </c>
      <c r="O50" s="232">
        <v>0</v>
      </c>
      <c r="P50" s="232">
        <v>0</v>
      </c>
      <c r="Q50" s="232">
        <v>0</v>
      </c>
      <c r="R50" s="232">
        <v>0</v>
      </c>
      <c r="S50" s="232">
        <v>0</v>
      </c>
      <c r="T50" s="231">
        <f t="shared" si="3"/>
        <v>0</v>
      </c>
      <c r="U50" s="348">
        <f t="shared" si="4"/>
        <v>0</v>
      </c>
    </row>
    <row r="51" spans="1:21" s="128" customFormat="1" ht="35.25" customHeight="1" x14ac:dyDescent="0.25">
      <c r="A51" s="346" t="s">
        <v>56</v>
      </c>
      <c r="B51" s="347" t="s">
        <v>133</v>
      </c>
      <c r="C51" s="231">
        <v>0</v>
      </c>
      <c r="D51" s="231">
        <v>0</v>
      </c>
      <c r="E51" s="351">
        <f t="shared" si="9"/>
        <v>0</v>
      </c>
      <c r="F51" s="351">
        <f t="shared" si="5"/>
        <v>0</v>
      </c>
      <c r="G51" s="231">
        <v>0</v>
      </c>
      <c r="H51" s="231">
        <v>0</v>
      </c>
      <c r="I51" s="231">
        <v>0</v>
      </c>
      <c r="J51" s="231">
        <v>0</v>
      </c>
      <c r="K51" s="231">
        <v>0</v>
      </c>
      <c r="L51" s="231">
        <v>0</v>
      </c>
      <c r="M51" s="231">
        <v>0</v>
      </c>
      <c r="N51" s="352">
        <v>0</v>
      </c>
      <c r="O51" s="231">
        <v>0</v>
      </c>
      <c r="P51" s="231">
        <v>0</v>
      </c>
      <c r="Q51" s="231">
        <v>0</v>
      </c>
      <c r="R51" s="231">
        <v>0</v>
      </c>
      <c r="S51" s="231">
        <v>0</v>
      </c>
      <c r="T51" s="231">
        <f t="shared" si="3"/>
        <v>0</v>
      </c>
      <c r="U51" s="348">
        <f t="shared" si="4"/>
        <v>0</v>
      </c>
    </row>
    <row r="52" spans="1:21" x14ac:dyDescent="0.25">
      <c r="A52" s="349" t="s">
        <v>132</v>
      </c>
      <c r="B52" s="283" t="s">
        <v>131</v>
      </c>
      <c r="C52" s="231">
        <f>C30</f>
        <v>5.5281879000000007</v>
      </c>
      <c r="D52" s="231">
        <v>0</v>
      </c>
      <c r="E52" s="231">
        <f t="shared" si="9"/>
        <v>5.5281879000000007</v>
      </c>
      <c r="F52" s="351">
        <f t="shared" si="5"/>
        <v>5.5281879000000007</v>
      </c>
      <c r="G52" s="232">
        <v>0</v>
      </c>
      <c r="H52" s="232">
        <v>0</v>
      </c>
      <c r="I52" s="232">
        <v>0</v>
      </c>
      <c r="J52" s="232">
        <v>0</v>
      </c>
      <c r="K52" s="232">
        <v>0</v>
      </c>
      <c r="L52" s="232">
        <v>0</v>
      </c>
      <c r="M52" s="232">
        <v>0</v>
      </c>
      <c r="N52" s="232">
        <v>0</v>
      </c>
      <c r="O52" s="232">
        <v>0</v>
      </c>
      <c r="P52" s="232">
        <v>5.5281879000000007</v>
      </c>
      <c r="Q52" s="232">
        <v>0</v>
      </c>
      <c r="R52" s="232">
        <v>0</v>
      </c>
      <c r="S52" s="232">
        <v>0</v>
      </c>
      <c r="T52" s="231">
        <f t="shared" si="3"/>
        <v>5.5281879000000007</v>
      </c>
      <c r="U52" s="348">
        <f t="shared" si="4"/>
        <v>0</v>
      </c>
    </row>
    <row r="53" spans="1:21" x14ac:dyDescent="0.25">
      <c r="A53" s="349" t="s">
        <v>130</v>
      </c>
      <c r="B53" s="283" t="s">
        <v>124</v>
      </c>
      <c r="C53" s="231">
        <v>0</v>
      </c>
      <c r="D53" s="231">
        <v>0</v>
      </c>
      <c r="E53" s="231">
        <f t="shared" si="9"/>
        <v>0</v>
      </c>
      <c r="F53" s="351">
        <f t="shared" si="5"/>
        <v>0</v>
      </c>
      <c r="G53" s="232">
        <v>0</v>
      </c>
      <c r="H53" s="232">
        <v>0</v>
      </c>
      <c r="I53" s="232">
        <v>0</v>
      </c>
      <c r="J53" s="232">
        <v>0</v>
      </c>
      <c r="K53" s="232">
        <v>0</v>
      </c>
      <c r="L53" s="232">
        <v>0</v>
      </c>
      <c r="M53" s="232">
        <v>0</v>
      </c>
      <c r="N53" s="350">
        <v>0</v>
      </c>
      <c r="O53" s="232">
        <v>0</v>
      </c>
      <c r="P53" s="232">
        <v>0</v>
      </c>
      <c r="Q53" s="232">
        <v>0</v>
      </c>
      <c r="R53" s="232">
        <v>0</v>
      </c>
      <c r="S53" s="232">
        <v>0</v>
      </c>
      <c r="T53" s="231">
        <f t="shared" si="3"/>
        <v>0</v>
      </c>
      <c r="U53" s="348">
        <f t="shared" si="4"/>
        <v>0</v>
      </c>
    </row>
    <row r="54" spans="1:21" x14ac:dyDescent="0.25">
      <c r="A54" s="349" t="s">
        <v>129</v>
      </c>
      <c r="B54" s="353" t="s">
        <v>123</v>
      </c>
      <c r="C54" s="354">
        <f>C45</f>
        <v>0</v>
      </c>
      <c r="D54" s="231">
        <v>0</v>
      </c>
      <c r="E54" s="231">
        <f t="shared" si="9"/>
        <v>0</v>
      </c>
      <c r="F54" s="351">
        <f t="shared" si="5"/>
        <v>0</v>
      </c>
      <c r="G54" s="232">
        <v>0</v>
      </c>
      <c r="H54" s="232">
        <v>0</v>
      </c>
      <c r="I54" s="232">
        <v>0</v>
      </c>
      <c r="J54" s="232">
        <v>0</v>
      </c>
      <c r="K54" s="232">
        <v>0</v>
      </c>
      <c r="L54" s="232">
        <v>0</v>
      </c>
      <c r="M54" s="232">
        <v>0</v>
      </c>
      <c r="N54" s="232">
        <v>0</v>
      </c>
      <c r="O54" s="232">
        <v>0</v>
      </c>
      <c r="P54" s="232">
        <v>0</v>
      </c>
      <c r="Q54" s="232">
        <v>0</v>
      </c>
      <c r="R54" s="232">
        <v>0</v>
      </c>
      <c r="S54" s="232">
        <v>0</v>
      </c>
      <c r="T54" s="231">
        <f t="shared" si="3"/>
        <v>0</v>
      </c>
      <c r="U54" s="348">
        <f t="shared" si="4"/>
        <v>0</v>
      </c>
    </row>
    <row r="55" spans="1:21" x14ac:dyDescent="0.25">
      <c r="A55" s="349" t="s">
        <v>128</v>
      </c>
      <c r="B55" s="353" t="s">
        <v>122</v>
      </c>
      <c r="C55" s="354">
        <v>0</v>
      </c>
      <c r="D55" s="231">
        <v>0</v>
      </c>
      <c r="E55" s="231">
        <f t="shared" si="9"/>
        <v>0</v>
      </c>
      <c r="F55" s="351">
        <f t="shared" si="5"/>
        <v>0</v>
      </c>
      <c r="G55" s="232">
        <v>0</v>
      </c>
      <c r="H55" s="232">
        <v>0</v>
      </c>
      <c r="I55" s="232">
        <v>0</v>
      </c>
      <c r="J55" s="232">
        <v>0</v>
      </c>
      <c r="K55" s="232">
        <v>0</v>
      </c>
      <c r="L55" s="232">
        <v>0</v>
      </c>
      <c r="M55" s="232">
        <v>0</v>
      </c>
      <c r="N55" s="232">
        <v>0</v>
      </c>
      <c r="O55" s="232">
        <v>0</v>
      </c>
      <c r="P55" s="232">
        <v>0</v>
      </c>
      <c r="Q55" s="232">
        <v>0</v>
      </c>
      <c r="R55" s="232">
        <v>0</v>
      </c>
      <c r="S55" s="232">
        <v>0</v>
      </c>
      <c r="T55" s="231">
        <f t="shared" si="3"/>
        <v>0</v>
      </c>
      <c r="U55" s="348">
        <f t="shared" si="4"/>
        <v>0</v>
      </c>
    </row>
    <row r="56" spans="1:21" x14ac:dyDescent="0.25">
      <c r="A56" s="349" t="s">
        <v>127</v>
      </c>
      <c r="B56" s="353" t="s">
        <v>121</v>
      </c>
      <c r="C56" s="354">
        <f>C47+C48+C49</f>
        <v>1.7</v>
      </c>
      <c r="D56" s="231">
        <v>0</v>
      </c>
      <c r="E56" s="231">
        <f t="shared" si="9"/>
        <v>1.7</v>
      </c>
      <c r="F56" s="351">
        <f t="shared" si="5"/>
        <v>1.7</v>
      </c>
      <c r="G56" s="232">
        <v>0</v>
      </c>
      <c r="H56" s="232">
        <v>0</v>
      </c>
      <c r="I56" s="232">
        <v>0</v>
      </c>
      <c r="J56" s="232">
        <v>0</v>
      </c>
      <c r="K56" s="232">
        <v>0</v>
      </c>
      <c r="L56" s="232">
        <v>0</v>
      </c>
      <c r="M56" s="232">
        <v>0</v>
      </c>
      <c r="N56" s="232">
        <v>0</v>
      </c>
      <c r="O56" s="232">
        <v>0</v>
      </c>
      <c r="P56" s="232">
        <v>1.7</v>
      </c>
      <c r="Q56" s="232">
        <v>0</v>
      </c>
      <c r="R56" s="232">
        <v>0</v>
      </c>
      <c r="S56" s="232">
        <v>0</v>
      </c>
      <c r="T56" s="231">
        <f t="shared" si="3"/>
        <v>1.7</v>
      </c>
      <c r="U56" s="348">
        <f t="shared" si="4"/>
        <v>0</v>
      </c>
    </row>
    <row r="57" spans="1:21" ht="18.75" x14ac:dyDescent="0.25">
      <c r="A57" s="349" t="s">
        <v>126</v>
      </c>
      <c r="B57" s="353" t="s">
        <v>120</v>
      </c>
      <c r="C57" s="354">
        <f>C50</f>
        <v>0</v>
      </c>
      <c r="D57" s="231">
        <v>0</v>
      </c>
      <c r="E57" s="231">
        <f t="shared" si="9"/>
        <v>0</v>
      </c>
      <c r="F57" s="351">
        <f t="shared" si="5"/>
        <v>0</v>
      </c>
      <c r="G57" s="232">
        <v>0</v>
      </c>
      <c r="H57" s="232">
        <v>0</v>
      </c>
      <c r="I57" s="232">
        <v>0</v>
      </c>
      <c r="J57" s="232">
        <v>0</v>
      </c>
      <c r="K57" s="232">
        <v>0</v>
      </c>
      <c r="L57" s="232">
        <v>0</v>
      </c>
      <c r="M57" s="232">
        <v>0</v>
      </c>
      <c r="N57" s="232">
        <v>0</v>
      </c>
      <c r="O57" s="232">
        <v>0</v>
      </c>
      <c r="P57" s="232">
        <v>0</v>
      </c>
      <c r="Q57" s="232">
        <v>0</v>
      </c>
      <c r="R57" s="232">
        <v>0</v>
      </c>
      <c r="S57" s="232">
        <v>0</v>
      </c>
      <c r="T57" s="231">
        <f t="shared" si="3"/>
        <v>0</v>
      </c>
      <c r="U57" s="348">
        <f t="shared" si="4"/>
        <v>0</v>
      </c>
    </row>
    <row r="58" spans="1:21" s="128" customFormat="1" ht="36.75" customHeight="1" x14ac:dyDescent="0.25">
      <c r="A58" s="346" t="s">
        <v>55</v>
      </c>
      <c r="B58" s="355" t="s">
        <v>201</v>
      </c>
      <c r="C58" s="354">
        <v>0</v>
      </c>
      <c r="D58" s="231">
        <v>0</v>
      </c>
      <c r="E58" s="351">
        <f t="shared" si="9"/>
        <v>0</v>
      </c>
      <c r="F58" s="351">
        <f t="shared" si="5"/>
        <v>0</v>
      </c>
      <c r="G58" s="231">
        <v>0</v>
      </c>
      <c r="H58" s="231">
        <v>0</v>
      </c>
      <c r="I58" s="231">
        <v>0</v>
      </c>
      <c r="J58" s="231">
        <v>0</v>
      </c>
      <c r="K58" s="231">
        <v>0</v>
      </c>
      <c r="L58" s="231">
        <v>0</v>
      </c>
      <c r="M58" s="231">
        <v>0</v>
      </c>
      <c r="N58" s="352">
        <v>0</v>
      </c>
      <c r="O58" s="231">
        <v>0</v>
      </c>
      <c r="P58" s="231">
        <v>0</v>
      </c>
      <c r="Q58" s="231">
        <v>0</v>
      </c>
      <c r="R58" s="231">
        <v>0</v>
      </c>
      <c r="S58" s="231">
        <v>0</v>
      </c>
      <c r="T58" s="231">
        <f t="shared" si="3"/>
        <v>0</v>
      </c>
      <c r="U58" s="348">
        <f t="shared" si="4"/>
        <v>0</v>
      </c>
    </row>
    <row r="59" spans="1:21" s="128" customFormat="1" x14ac:dyDescent="0.25">
      <c r="A59" s="346" t="s">
        <v>53</v>
      </c>
      <c r="B59" s="347" t="s">
        <v>125</v>
      </c>
      <c r="C59" s="231">
        <v>0</v>
      </c>
      <c r="D59" s="231">
        <v>0</v>
      </c>
      <c r="E59" s="351">
        <f t="shared" si="9"/>
        <v>0</v>
      </c>
      <c r="F59" s="351">
        <f t="shared" si="5"/>
        <v>0</v>
      </c>
      <c r="G59" s="231">
        <v>0</v>
      </c>
      <c r="H59" s="231">
        <v>0</v>
      </c>
      <c r="I59" s="231">
        <v>0</v>
      </c>
      <c r="J59" s="231">
        <v>0</v>
      </c>
      <c r="K59" s="231">
        <v>0</v>
      </c>
      <c r="L59" s="231">
        <v>0</v>
      </c>
      <c r="M59" s="231">
        <v>0</v>
      </c>
      <c r="N59" s="352">
        <v>0</v>
      </c>
      <c r="O59" s="231">
        <v>0</v>
      </c>
      <c r="P59" s="231">
        <v>0</v>
      </c>
      <c r="Q59" s="231">
        <v>0</v>
      </c>
      <c r="R59" s="231">
        <v>0</v>
      </c>
      <c r="S59" s="231">
        <v>0</v>
      </c>
      <c r="T59" s="231">
        <f t="shared" si="3"/>
        <v>0</v>
      </c>
      <c r="U59" s="348">
        <f t="shared" si="4"/>
        <v>0</v>
      </c>
    </row>
    <row r="60" spans="1:21" x14ac:dyDescent="0.25">
      <c r="A60" s="349" t="s">
        <v>195</v>
      </c>
      <c r="B60" s="57" t="s">
        <v>146</v>
      </c>
      <c r="C60" s="356">
        <v>0</v>
      </c>
      <c r="D60" s="231">
        <v>0</v>
      </c>
      <c r="E60" s="231">
        <f t="shared" si="9"/>
        <v>0</v>
      </c>
      <c r="F60" s="351">
        <f t="shared" si="5"/>
        <v>0</v>
      </c>
      <c r="G60" s="232">
        <v>0</v>
      </c>
      <c r="H60" s="232">
        <v>0</v>
      </c>
      <c r="I60" s="232">
        <v>0</v>
      </c>
      <c r="J60" s="232">
        <v>0</v>
      </c>
      <c r="K60" s="232">
        <v>0</v>
      </c>
      <c r="L60" s="232">
        <v>0</v>
      </c>
      <c r="M60" s="232">
        <v>0</v>
      </c>
      <c r="N60" s="232">
        <v>0</v>
      </c>
      <c r="O60" s="232">
        <v>0</v>
      </c>
      <c r="P60" s="232">
        <v>0</v>
      </c>
      <c r="Q60" s="232">
        <v>0</v>
      </c>
      <c r="R60" s="232">
        <v>0</v>
      </c>
      <c r="S60" s="232">
        <v>0</v>
      </c>
      <c r="T60" s="231">
        <f t="shared" si="3"/>
        <v>0</v>
      </c>
      <c r="U60" s="348">
        <f t="shared" si="4"/>
        <v>0</v>
      </c>
    </row>
    <row r="61" spans="1:21" x14ac:dyDescent="0.25">
      <c r="A61" s="349" t="s">
        <v>196</v>
      </c>
      <c r="B61" s="57" t="s">
        <v>144</v>
      </c>
      <c r="C61" s="356">
        <v>0</v>
      </c>
      <c r="D61" s="231">
        <v>0</v>
      </c>
      <c r="E61" s="231">
        <f t="shared" si="9"/>
        <v>0</v>
      </c>
      <c r="F61" s="351">
        <f t="shared" si="5"/>
        <v>0</v>
      </c>
      <c r="G61" s="232">
        <v>0</v>
      </c>
      <c r="H61" s="232">
        <v>0</v>
      </c>
      <c r="I61" s="232">
        <v>0</v>
      </c>
      <c r="J61" s="232">
        <v>0</v>
      </c>
      <c r="K61" s="232">
        <v>0</v>
      </c>
      <c r="L61" s="232">
        <v>0</v>
      </c>
      <c r="M61" s="232">
        <v>0</v>
      </c>
      <c r="N61" s="232">
        <v>0</v>
      </c>
      <c r="O61" s="232">
        <v>0</v>
      </c>
      <c r="P61" s="232">
        <v>0</v>
      </c>
      <c r="Q61" s="232">
        <v>0</v>
      </c>
      <c r="R61" s="232">
        <v>0</v>
      </c>
      <c r="S61" s="232">
        <v>0</v>
      </c>
      <c r="T61" s="231">
        <f t="shared" si="3"/>
        <v>0</v>
      </c>
      <c r="U61" s="348">
        <f t="shared" si="4"/>
        <v>0</v>
      </c>
    </row>
    <row r="62" spans="1:21" x14ac:dyDescent="0.25">
      <c r="A62" s="349" t="s">
        <v>197</v>
      </c>
      <c r="B62" s="57" t="s">
        <v>142</v>
      </c>
      <c r="C62" s="356">
        <v>0</v>
      </c>
      <c r="D62" s="231">
        <v>0</v>
      </c>
      <c r="E62" s="231">
        <f t="shared" si="9"/>
        <v>0</v>
      </c>
      <c r="F62" s="351">
        <f t="shared" si="5"/>
        <v>0</v>
      </c>
      <c r="G62" s="232">
        <v>0</v>
      </c>
      <c r="H62" s="232">
        <v>0</v>
      </c>
      <c r="I62" s="232">
        <v>0</v>
      </c>
      <c r="J62" s="232">
        <v>0</v>
      </c>
      <c r="K62" s="232">
        <v>0</v>
      </c>
      <c r="L62" s="232">
        <v>0</v>
      </c>
      <c r="M62" s="232">
        <v>0</v>
      </c>
      <c r="N62" s="232">
        <v>0</v>
      </c>
      <c r="O62" s="232">
        <v>0</v>
      </c>
      <c r="P62" s="232">
        <v>0</v>
      </c>
      <c r="Q62" s="232">
        <v>0</v>
      </c>
      <c r="R62" s="232">
        <v>0</v>
      </c>
      <c r="S62" s="232">
        <v>0</v>
      </c>
      <c r="T62" s="231">
        <f t="shared" si="3"/>
        <v>0</v>
      </c>
      <c r="U62" s="348">
        <f t="shared" si="4"/>
        <v>0</v>
      </c>
    </row>
    <row r="63" spans="1:21" x14ac:dyDescent="0.25">
      <c r="A63" s="349" t="s">
        <v>198</v>
      </c>
      <c r="B63" s="57" t="s">
        <v>200</v>
      </c>
      <c r="C63" s="356">
        <f>C56</f>
        <v>1.7</v>
      </c>
      <c r="D63" s="231">
        <v>0</v>
      </c>
      <c r="E63" s="231">
        <f t="shared" si="9"/>
        <v>1.7</v>
      </c>
      <c r="F63" s="351">
        <f t="shared" si="5"/>
        <v>1.7</v>
      </c>
      <c r="G63" s="232">
        <v>0</v>
      </c>
      <c r="H63" s="232">
        <v>0</v>
      </c>
      <c r="I63" s="232">
        <v>0</v>
      </c>
      <c r="J63" s="232">
        <v>0</v>
      </c>
      <c r="K63" s="232">
        <v>0</v>
      </c>
      <c r="L63" s="232">
        <v>0</v>
      </c>
      <c r="M63" s="232">
        <v>0</v>
      </c>
      <c r="N63" s="232">
        <v>0</v>
      </c>
      <c r="O63" s="232">
        <v>0</v>
      </c>
      <c r="P63" s="232">
        <v>1.7</v>
      </c>
      <c r="Q63" s="232">
        <v>0</v>
      </c>
      <c r="R63" s="232">
        <v>0</v>
      </c>
      <c r="S63" s="232">
        <v>0</v>
      </c>
      <c r="T63" s="231">
        <f t="shared" si="3"/>
        <v>1.7</v>
      </c>
      <c r="U63" s="348">
        <f t="shared" si="4"/>
        <v>0</v>
      </c>
    </row>
    <row r="64" spans="1:21" ht="18.75" x14ac:dyDescent="0.25">
      <c r="A64" s="349" t="s">
        <v>199</v>
      </c>
      <c r="B64" s="353" t="s">
        <v>120</v>
      </c>
      <c r="C64" s="354">
        <v>0</v>
      </c>
      <c r="D64" s="231">
        <v>0</v>
      </c>
      <c r="E64" s="231">
        <f t="shared" si="9"/>
        <v>0</v>
      </c>
      <c r="F64" s="351">
        <f t="shared" si="5"/>
        <v>0</v>
      </c>
      <c r="G64" s="232">
        <v>0</v>
      </c>
      <c r="H64" s="232">
        <v>0</v>
      </c>
      <c r="I64" s="232">
        <v>0</v>
      </c>
      <c r="J64" s="232">
        <v>0</v>
      </c>
      <c r="K64" s="232">
        <v>0</v>
      </c>
      <c r="L64" s="232">
        <v>0</v>
      </c>
      <c r="M64" s="232">
        <v>0</v>
      </c>
      <c r="N64" s="232">
        <v>0</v>
      </c>
      <c r="O64" s="232">
        <v>0</v>
      </c>
      <c r="P64" s="232">
        <v>0</v>
      </c>
      <c r="Q64" s="232">
        <v>0</v>
      </c>
      <c r="R64" s="232">
        <v>0</v>
      </c>
      <c r="S64" s="232">
        <v>0</v>
      </c>
      <c r="T64" s="231">
        <f t="shared" si="3"/>
        <v>0</v>
      </c>
      <c r="U64" s="348">
        <f t="shared" si="4"/>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478"/>
      <c r="C66" s="478"/>
      <c r="D66" s="478"/>
      <c r="E66" s="478"/>
      <c r="F66" s="478"/>
      <c r="G66" s="478"/>
      <c r="H66" s="478"/>
      <c r="I66" s="478"/>
      <c r="J66" s="478"/>
      <c r="K66" s="478"/>
      <c r="L66" s="478"/>
      <c r="M66" s="478"/>
      <c r="N66" s="478"/>
      <c r="O66" s="478"/>
      <c r="P66" s="478"/>
      <c r="Q66" s="478"/>
      <c r="R66" s="321"/>
      <c r="S66" s="321"/>
      <c r="T66" s="54"/>
    </row>
    <row r="67" spans="1:20" x14ac:dyDescent="0.25">
      <c r="A67" s="51"/>
      <c r="B67" s="51"/>
      <c r="C67" s="51"/>
      <c r="D67" s="51"/>
      <c r="E67" s="51"/>
      <c r="F67" s="51"/>
      <c r="T67" s="51"/>
    </row>
    <row r="68" spans="1:20" ht="50.25" customHeight="1" x14ac:dyDescent="0.25">
      <c r="A68" s="51"/>
      <c r="B68" s="481"/>
      <c r="C68" s="481"/>
      <c r="D68" s="481"/>
      <c r="E68" s="481"/>
      <c r="F68" s="481"/>
      <c r="G68" s="481"/>
      <c r="H68" s="481"/>
      <c r="I68" s="481"/>
      <c r="J68" s="481"/>
      <c r="K68" s="481"/>
      <c r="L68" s="481"/>
      <c r="M68" s="481"/>
      <c r="N68" s="481"/>
      <c r="O68" s="481"/>
      <c r="P68" s="481"/>
      <c r="Q68" s="481"/>
      <c r="R68" s="322"/>
      <c r="S68" s="322"/>
      <c r="T68" s="51"/>
    </row>
    <row r="69" spans="1:20" x14ac:dyDescent="0.25">
      <c r="A69" s="51"/>
      <c r="B69" s="51"/>
      <c r="C69" s="51"/>
      <c r="D69" s="51"/>
      <c r="E69" s="51"/>
      <c r="F69" s="51"/>
      <c r="T69" s="51"/>
    </row>
    <row r="70" spans="1:20" ht="36.75" customHeight="1" x14ac:dyDescent="0.25">
      <c r="A70" s="51"/>
      <c r="B70" s="478"/>
      <c r="C70" s="478"/>
      <c r="D70" s="478"/>
      <c r="E70" s="478"/>
      <c r="F70" s="478"/>
      <c r="G70" s="478"/>
      <c r="H70" s="478"/>
      <c r="I70" s="478"/>
      <c r="J70" s="478"/>
      <c r="K70" s="478"/>
      <c r="L70" s="478"/>
      <c r="M70" s="478"/>
      <c r="N70" s="478"/>
      <c r="O70" s="478"/>
      <c r="P70" s="478"/>
      <c r="Q70" s="478"/>
      <c r="R70" s="321"/>
      <c r="S70" s="321"/>
      <c r="T70" s="51"/>
    </row>
    <row r="71" spans="1:20" x14ac:dyDescent="0.25">
      <c r="A71" s="51"/>
      <c r="B71" s="53"/>
      <c r="C71" s="53"/>
      <c r="D71" s="53"/>
      <c r="E71" s="53"/>
      <c r="F71" s="53"/>
      <c r="T71" s="51"/>
    </row>
    <row r="72" spans="1:20" ht="51" customHeight="1" x14ac:dyDescent="0.25">
      <c r="A72" s="51"/>
      <c r="B72" s="478"/>
      <c r="C72" s="478"/>
      <c r="D72" s="478"/>
      <c r="E72" s="478"/>
      <c r="F72" s="478"/>
      <c r="G72" s="478"/>
      <c r="H72" s="478"/>
      <c r="I72" s="478"/>
      <c r="J72" s="478"/>
      <c r="K72" s="478"/>
      <c r="L72" s="478"/>
      <c r="M72" s="478"/>
      <c r="N72" s="478"/>
      <c r="O72" s="478"/>
      <c r="P72" s="478"/>
      <c r="Q72" s="478"/>
      <c r="R72" s="321"/>
      <c r="S72" s="321"/>
      <c r="T72" s="51"/>
    </row>
    <row r="73" spans="1:20" ht="32.25" customHeight="1" x14ac:dyDescent="0.25">
      <c r="A73" s="51"/>
      <c r="B73" s="481"/>
      <c r="C73" s="481"/>
      <c r="D73" s="481"/>
      <c r="E73" s="481"/>
      <c r="F73" s="481"/>
      <c r="G73" s="481"/>
      <c r="H73" s="481"/>
      <c r="I73" s="481"/>
      <c r="J73" s="481"/>
      <c r="K73" s="481"/>
      <c r="L73" s="481"/>
      <c r="M73" s="481"/>
      <c r="N73" s="481"/>
      <c r="O73" s="481"/>
      <c r="P73" s="481"/>
      <c r="Q73" s="481"/>
      <c r="R73" s="322"/>
      <c r="S73" s="322"/>
      <c r="T73" s="51"/>
    </row>
    <row r="74" spans="1:20" ht="51.75" customHeight="1" x14ac:dyDescent="0.25">
      <c r="A74" s="51"/>
      <c r="B74" s="478"/>
      <c r="C74" s="478"/>
      <c r="D74" s="478"/>
      <c r="E74" s="478"/>
      <c r="F74" s="478"/>
      <c r="G74" s="478"/>
      <c r="H74" s="478"/>
      <c r="I74" s="478"/>
      <c r="J74" s="478"/>
      <c r="K74" s="478"/>
      <c r="L74" s="478"/>
      <c r="M74" s="478"/>
      <c r="N74" s="478"/>
      <c r="O74" s="478"/>
      <c r="P74" s="478"/>
      <c r="Q74" s="478"/>
      <c r="R74" s="321"/>
      <c r="S74" s="321"/>
      <c r="T74" s="51"/>
    </row>
    <row r="75" spans="1:20" ht="21.75" customHeight="1" x14ac:dyDescent="0.25">
      <c r="A75" s="51"/>
      <c r="B75" s="479"/>
      <c r="C75" s="479"/>
      <c r="D75" s="479"/>
      <c r="E75" s="479"/>
      <c r="F75" s="479"/>
      <c r="G75" s="479"/>
      <c r="H75" s="479"/>
      <c r="I75" s="479"/>
      <c r="J75" s="479"/>
      <c r="K75" s="479"/>
      <c r="L75" s="479"/>
      <c r="M75" s="479"/>
      <c r="N75" s="479"/>
      <c r="O75" s="479"/>
      <c r="P75" s="479"/>
      <c r="Q75" s="479"/>
      <c r="R75" s="319"/>
      <c r="S75" s="319"/>
      <c r="T75" s="51"/>
    </row>
    <row r="76" spans="1:20" ht="23.25" customHeight="1" x14ac:dyDescent="0.25">
      <c r="A76" s="51"/>
      <c r="B76" s="52"/>
      <c r="C76" s="52"/>
      <c r="D76" s="52"/>
      <c r="E76" s="52"/>
      <c r="F76" s="52"/>
      <c r="T76" s="51"/>
    </row>
    <row r="77" spans="1:20" ht="18.75" customHeight="1" x14ac:dyDescent="0.25">
      <c r="A77" s="51"/>
      <c r="B77" s="480"/>
      <c r="C77" s="480"/>
      <c r="D77" s="480"/>
      <c r="E77" s="480"/>
      <c r="F77" s="480"/>
      <c r="G77" s="480"/>
      <c r="H77" s="480"/>
      <c r="I77" s="480"/>
      <c r="J77" s="480"/>
      <c r="K77" s="480"/>
      <c r="L77" s="480"/>
      <c r="M77" s="480"/>
      <c r="N77" s="480"/>
      <c r="O77" s="480"/>
      <c r="P77" s="480"/>
      <c r="Q77" s="480"/>
      <c r="R77" s="320"/>
      <c r="S77" s="320"/>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B74:Q74"/>
    <mergeCell ref="B75:Q75"/>
    <mergeCell ref="B77:Q77"/>
    <mergeCell ref="B20:B22"/>
    <mergeCell ref="P20:S20"/>
    <mergeCell ref="P21:Q21"/>
    <mergeCell ref="R21:S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A14:U14"/>
    <mergeCell ref="A15:U15"/>
    <mergeCell ref="A16:U16"/>
    <mergeCell ref="A18:U18"/>
    <mergeCell ref="T20:U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5" t="s">
        <v>65</v>
      </c>
    </row>
    <row r="2" spans="1:48" ht="18.75" x14ac:dyDescent="0.3">
      <c r="AV2" s="13" t="s">
        <v>7</v>
      </c>
    </row>
    <row r="3" spans="1:48" ht="18.75" x14ac:dyDescent="0.3">
      <c r="AV3" s="13" t="s">
        <v>64</v>
      </c>
    </row>
    <row r="4" spans="1:48" ht="18.75" x14ac:dyDescent="0.3">
      <c r="AV4" s="13"/>
    </row>
    <row r="5" spans="1:48" ht="18.75" customHeight="1" x14ac:dyDescent="0.25">
      <c r="A5" s="386" t="str">
        <f>'6.2. Паспорт фин осв ввод'!A4</f>
        <v>Год раскрытия информации: 2023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3"/>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ht="15.75" x14ac:dyDescent="0.25">
      <c r="A9" s="396" t="str">
        <f>'6.2. Паспорт фин осв ввод'!A8</f>
        <v>Акционерное общество "Россети Янтарь"</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392" t="s">
        <v>5</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x14ac:dyDescent="0.25">
      <c r="A12" s="396" t="str">
        <f>'6.2. Паспорт фин осв ввод'!A11</f>
        <v>L_16-0257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392" t="s">
        <v>4</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ht="15.75" x14ac:dyDescent="0.25">
      <c r="A15" s="391" t="str">
        <f>'6.2. Паспорт фин осв ввод'!A14</f>
        <v>Строительство КЛ 15 кВ взамен существующей ВЛ 15 кВ № 15-21 (инв. № 5114657) протяженностью 1,7 км в Гурьевском районе</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92" t="s">
        <v>3</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0"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0" customFormat="1" x14ac:dyDescent="0.25">
      <c r="A21" s="482" t="s">
        <v>380</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0" customFormat="1" ht="58.5" customHeight="1" x14ac:dyDescent="0.25">
      <c r="A22" s="483" t="s">
        <v>49</v>
      </c>
      <c r="B22" s="486" t="s">
        <v>21</v>
      </c>
      <c r="C22" s="483" t="s">
        <v>48</v>
      </c>
      <c r="D22" s="483" t="s">
        <v>47</v>
      </c>
      <c r="E22" s="489" t="s">
        <v>390</v>
      </c>
      <c r="F22" s="490"/>
      <c r="G22" s="490"/>
      <c r="H22" s="490"/>
      <c r="I22" s="490"/>
      <c r="J22" s="490"/>
      <c r="K22" s="490"/>
      <c r="L22" s="491"/>
      <c r="M22" s="483" t="s">
        <v>46</v>
      </c>
      <c r="N22" s="483" t="s">
        <v>45</v>
      </c>
      <c r="O22" s="483" t="s">
        <v>44</v>
      </c>
      <c r="P22" s="492" t="s">
        <v>208</v>
      </c>
      <c r="Q22" s="492" t="s">
        <v>43</v>
      </c>
      <c r="R22" s="492" t="s">
        <v>42</v>
      </c>
      <c r="S22" s="492" t="s">
        <v>41</v>
      </c>
      <c r="T22" s="492"/>
      <c r="U22" s="493" t="s">
        <v>40</v>
      </c>
      <c r="V22" s="493" t="s">
        <v>39</v>
      </c>
      <c r="W22" s="492" t="s">
        <v>38</v>
      </c>
      <c r="X22" s="492" t="s">
        <v>37</v>
      </c>
      <c r="Y22" s="492" t="s">
        <v>36</v>
      </c>
      <c r="Z22" s="506" t="s">
        <v>35</v>
      </c>
      <c r="AA22" s="492" t="s">
        <v>34</v>
      </c>
      <c r="AB22" s="492" t="s">
        <v>33</v>
      </c>
      <c r="AC22" s="492" t="s">
        <v>32</v>
      </c>
      <c r="AD22" s="492" t="s">
        <v>31</v>
      </c>
      <c r="AE22" s="492" t="s">
        <v>30</v>
      </c>
      <c r="AF22" s="492" t="s">
        <v>29</v>
      </c>
      <c r="AG22" s="492"/>
      <c r="AH22" s="492"/>
      <c r="AI22" s="492"/>
      <c r="AJ22" s="492"/>
      <c r="AK22" s="492"/>
      <c r="AL22" s="492" t="s">
        <v>28</v>
      </c>
      <c r="AM22" s="492"/>
      <c r="AN22" s="492"/>
      <c r="AO22" s="492"/>
      <c r="AP22" s="492" t="s">
        <v>27</v>
      </c>
      <c r="AQ22" s="492"/>
      <c r="AR22" s="492" t="s">
        <v>26</v>
      </c>
      <c r="AS22" s="492" t="s">
        <v>25</v>
      </c>
      <c r="AT22" s="492" t="s">
        <v>24</v>
      </c>
      <c r="AU22" s="492" t="s">
        <v>23</v>
      </c>
      <c r="AV22" s="496" t="s">
        <v>22</v>
      </c>
    </row>
    <row r="23" spans="1:48" s="20" customFormat="1" ht="64.5" customHeight="1" x14ac:dyDescent="0.25">
      <c r="A23" s="484"/>
      <c r="B23" s="487"/>
      <c r="C23" s="484"/>
      <c r="D23" s="484"/>
      <c r="E23" s="498" t="s">
        <v>20</v>
      </c>
      <c r="F23" s="500" t="s">
        <v>124</v>
      </c>
      <c r="G23" s="500" t="s">
        <v>123</v>
      </c>
      <c r="H23" s="500" t="s">
        <v>122</v>
      </c>
      <c r="I23" s="504" t="s">
        <v>327</v>
      </c>
      <c r="J23" s="504" t="s">
        <v>328</v>
      </c>
      <c r="K23" s="504" t="s">
        <v>329</v>
      </c>
      <c r="L23" s="500" t="s">
        <v>73</v>
      </c>
      <c r="M23" s="484"/>
      <c r="N23" s="484"/>
      <c r="O23" s="484"/>
      <c r="P23" s="492"/>
      <c r="Q23" s="492"/>
      <c r="R23" s="492"/>
      <c r="S23" s="502" t="s">
        <v>1</v>
      </c>
      <c r="T23" s="502" t="s">
        <v>8</v>
      </c>
      <c r="U23" s="493"/>
      <c r="V23" s="493"/>
      <c r="W23" s="492"/>
      <c r="X23" s="492"/>
      <c r="Y23" s="492"/>
      <c r="Z23" s="492"/>
      <c r="AA23" s="492"/>
      <c r="AB23" s="492"/>
      <c r="AC23" s="492"/>
      <c r="AD23" s="492"/>
      <c r="AE23" s="492"/>
      <c r="AF23" s="492" t="s">
        <v>19</v>
      </c>
      <c r="AG23" s="492"/>
      <c r="AH23" s="492" t="s">
        <v>18</v>
      </c>
      <c r="AI23" s="492"/>
      <c r="AJ23" s="483" t="s">
        <v>17</v>
      </c>
      <c r="AK23" s="483" t="s">
        <v>16</v>
      </c>
      <c r="AL23" s="483" t="s">
        <v>15</v>
      </c>
      <c r="AM23" s="483" t="s">
        <v>14</v>
      </c>
      <c r="AN23" s="483" t="s">
        <v>13</v>
      </c>
      <c r="AO23" s="483" t="s">
        <v>12</v>
      </c>
      <c r="AP23" s="483" t="s">
        <v>11</v>
      </c>
      <c r="AQ23" s="494" t="s">
        <v>8</v>
      </c>
      <c r="AR23" s="492"/>
      <c r="AS23" s="492"/>
      <c r="AT23" s="492"/>
      <c r="AU23" s="492"/>
      <c r="AV23" s="497"/>
    </row>
    <row r="24" spans="1:48" s="20"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89" t="s">
        <v>10</v>
      </c>
      <c r="AG24" s="89" t="s">
        <v>9</v>
      </c>
      <c r="AH24" s="90" t="s">
        <v>1</v>
      </c>
      <c r="AI24" s="90" t="s">
        <v>8</v>
      </c>
      <c r="AJ24" s="485"/>
      <c r="AK24" s="485"/>
      <c r="AL24" s="485"/>
      <c r="AM24" s="485"/>
      <c r="AN24" s="485"/>
      <c r="AO24" s="485"/>
      <c r="AP24" s="485"/>
      <c r="AQ24" s="495"/>
      <c r="AR24" s="492"/>
      <c r="AS24" s="492"/>
      <c r="AT24" s="492"/>
      <c r="AU24" s="492"/>
      <c r="AV24" s="49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2.75" x14ac:dyDescent="0.2">
      <c r="A26" s="357">
        <v>1</v>
      </c>
      <c r="B26" s="358" t="s">
        <v>559</v>
      </c>
      <c r="C26" s="358" t="s">
        <v>60</v>
      </c>
      <c r="D26" s="359">
        <f>'6.1. Паспорт сетевой график'!H55</f>
        <v>45291</v>
      </c>
      <c r="E26" s="360"/>
      <c r="F26" s="361"/>
      <c r="G26" s="361">
        <f>'6.2. Паспорт фин осв ввод'!C37</f>
        <v>0</v>
      </c>
      <c r="H26" s="361"/>
      <c r="I26" s="361">
        <f>'6.2. Паспорт фин осв ввод'!C39</f>
        <v>0</v>
      </c>
      <c r="J26" s="361">
        <f>'6.2. Паспорт фин осв ввод'!C40</f>
        <v>0</v>
      </c>
      <c r="K26" s="361">
        <f>'6.2. Паспорт фин осв ввод'!C41</f>
        <v>1.7</v>
      </c>
      <c r="L26" s="360"/>
      <c r="M26" s="362"/>
      <c r="N26" s="362"/>
      <c r="O26" s="362"/>
      <c r="P26" s="363"/>
      <c r="Q26" s="362"/>
      <c r="R26" s="363"/>
      <c r="S26" s="362"/>
      <c r="T26" s="362"/>
      <c r="U26" s="360"/>
      <c r="V26" s="360"/>
      <c r="W26" s="362"/>
      <c r="X26" s="363"/>
      <c r="Y26" s="362"/>
      <c r="Z26" s="364"/>
      <c r="AA26" s="363"/>
      <c r="AB26" s="363"/>
      <c r="AC26" s="363"/>
      <c r="AD26" s="363"/>
      <c r="AE26" s="363"/>
      <c r="AF26" s="360"/>
      <c r="AG26" s="362"/>
      <c r="AH26" s="364"/>
      <c r="AI26" s="364"/>
      <c r="AJ26" s="364"/>
      <c r="AK26" s="364"/>
      <c r="AL26" s="362"/>
      <c r="AM26" s="362"/>
      <c r="AN26" s="364"/>
      <c r="AO26" s="362"/>
      <c r="AP26" s="364"/>
      <c r="AQ26" s="364"/>
      <c r="AR26" s="364"/>
      <c r="AS26" s="364"/>
      <c r="AT26" s="364"/>
      <c r="AU26" s="362"/>
      <c r="AV26" s="36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3" zoomScale="80" zoomScaleNormal="90" zoomScaleSheetLayoutView="80" workbookViewId="0">
      <selection activeCell="B27" sqref="B27:B28"/>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5" t="s">
        <v>65</v>
      </c>
    </row>
    <row r="2" spans="1:8" ht="18.75" x14ac:dyDescent="0.3">
      <c r="B2" s="13" t="s">
        <v>7</v>
      </c>
    </row>
    <row r="3" spans="1:8" ht="18.75" x14ac:dyDescent="0.3">
      <c r="B3" s="13" t="s">
        <v>397</v>
      </c>
    </row>
    <row r="4" spans="1:8" x14ac:dyDescent="0.25">
      <c r="B4" s="38"/>
    </row>
    <row r="5" spans="1:8" ht="18.75" x14ac:dyDescent="0.3">
      <c r="A5" s="510" t="str">
        <f>'1. паспорт местоположение'!A5:C5</f>
        <v>Год раскрытия информации: 2023 год</v>
      </c>
      <c r="B5" s="510"/>
      <c r="C5" s="61"/>
      <c r="D5" s="61"/>
      <c r="E5" s="61"/>
      <c r="F5" s="61"/>
      <c r="G5" s="61"/>
      <c r="H5" s="61"/>
    </row>
    <row r="6" spans="1:8" ht="18.75" x14ac:dyDescent="0.3">
      <c r="A6" s="324"/>
      <c r="B6" s="324"/>
      <c r="C6" s="324"/>
      <c r="D6" s="324"/>
      <c r="E6" s="324"/>
      <c r="F6" s="324"/>
      <c r="G6" s="324"/>
      <c r="H6" s="324"/>
    </row>
    <row r="7" spans="1:8" ht="18.75" x14ac:dyDescent="0.25">
      <c r="A7" s="432" t="s">
        <v>6</v>
      </c>
      <c r="B7" s="432"/>
      <c r="C7" s="93"/>
      <c r="D7" s="93"/>
      <c r="E7" s="93"/>
      <c r="F7" s="93"/>
      <c r="G7" s="93"/>
      <c r="H7" s="93"/>
    </row>
    <row r="8" spans="1:8" ht="18.75" x14ac:dyDescent="0.25">
      <c r="A8" s="93"/>
      <c r="B8" s="93"/>
      <c r="C8" s="93"/>
      <c r="D8" s="93"/>
      <c r="E8" s="93"/>
      <c r="F8" s="93"/>
      <c r="G8" s="93"/>
      <c r="H8" s="93"/>
    </row>
    <row r="9" spans="1:8" x14ac:dyDescent="0.25">
      <c r="A9" s="511" t="str">
        <f>'1. паспорт местоположение'!A9:C9</f>
        <v>Акционерное общество "Россети Янтарь"</v>
      </c>
      <c r="B9" s="511"/>
      <c r="C9" s="94"/>
      <c r="D9" s="94"/>
      <c r="E9" s="94"/>
      <c r="F9" s="94"/>
      <c r="G9" s="94"/>
      <c r="H9" s="94"/>
    </row>
    <row r="10" spans="1:8" x14ac:dyDescent="0.25">
      <c r="A10" s="383" t="s">
        <v>5</v>
      </c>
      <c r="B10" s="383"/>
      <c r="C10" s="95"/>
      <c r="D10" s="95"/>
      <c r="E10" s="95"/>
      <c r="F10" s="95"/>
      <c r="G10" s="95"/>
      <c r="H10" s="95"/>
    </row>
    <row r="11" spans="1:8" ht="18.75" x14ac:dyDescent="0.25">
      <c r="A11" s="93"/>
      <c r="B11" s="93"/>
      <c r="C11" s="93"/>
      <c r="D11" s="93"/>
      <c r="E11" s="93"/>
      <c r="F11" s="93"/>
      <c r="G11" s="93"/>
      <c r="H11" s="93"/>
    </row>
    <row r="12" spans="1:8" x14ac:dyDescent="0.25">
      <c r="A12" s="511" t="str">
        <f>'1. паспорт местоположение'!A12:C12</f>
        <v>L_16-0257</v>
      </c>
      <c r="B12" s="511"/>
      <c r="C12" s="94"/>
      <c r="D12" s="94"/>
      <c r="E12" s="94"/>
      <c r="F12" s="94"/>
      <c r="G12" s="94"/>
      <c r="H12" s="94"/>
    </row>
    <row r="13" spans="1:8" x14ac:dyDescent="0.25">
      <c r="A13" s="383" t="s">
        <v>4</v>
      </c>
      <c r="B13" s="383"/>
      <c r="C13" s="95"/>
      <c r="D13" s="95"/>
      <c r="E13" s="95"/>
      <c r="F13" s="95"/>
      <c r="G13" s="95"/>
      <c r="H13" s="95"/>
    </row>
    <row r="14" spans="1:8" ht="18.75" x14ac:dyDescent="0.25">
      <c r="A14" s="9"/>
      <c r="B14" s="9"/>
      <c r="C14" s="9"/>
      <c r="D14" s="9"/>
      <c r="E14" s="9"/>
      <c r="F14" s="9"/>
      <c r="G14" s="9"/>
      <c r="H14" s="9"/>
    </row>
    <row r="15" spans="1:8" ht="48.75" customHeight="1" x14ac:dyDescent="0.25">
      <c r="A15" s="512" t="str">
        <f>'1. паспорт местоположение'!A15:C15</f>
        <v>Строительство КЛ 15 кВ взамен существующей ВЛ 15 кВ № 15-21 (инв. № 5114657) протяженностью 1,7 км в Гурьевском районе</v>
      </c>
      <c r="B15" s="512"/>
      <c r="C15" s="94"/>
      <c r="D15" s="94"/>
      <c r="E15" s="94"/>
      <c r="F15" s="94"/>
      <c r="G15" s="94"/>
      <c r="H15" s="94"/>
    </row>
    <row r="16" spans="1:8" x14ac:dyDescent="0.25">
      <c r="A16" s="383" t="s">
        <v>3</v>
      </c>
      <c r="B16" s="383"/>
      <c r="C16" s="95"/>
      <c r="D16" s="95"/>
      <c r="E16" s="95"/>
      <c r="F16" s="95"/>
      <c r="G16" s="95"/>
      <c r="H16" s="95"/>
    </row>
    <row r="17" spans="1:4" x14ac:dyDescent="0.25">
      <c r="B17" s="74"/>
    </row>
    <row r="18" spans="1:4" x14ac:dyDescent="0.25">
      <c r="A18" s="513" t="s">
        <v>381</v>
      </c>
      <c r="B18" s="514"/>
    </row>
    <row r="19" spans="1:4" x14ac:dyDescent="0.25">
      <c r="B19" s="38"/>
    </row>
    <row r="20" spans="1:4" ht="16.5" thickBot="1" x14ac:dyDescent="0.3">
      <c r="B20" s="75"/>
    </row>
    <row r="21" spans="1:4" ht="30.75" thickBot="1" x14ac:dyDescent="0.3">
      <c r="A21" s="365" t="s">
        <v>281</v>
      </c>
      <c r="B21" s="366" t="str">
        <f>A15</f>
        <v>Строительство КЛ 15 кВ взамен существующей ВЛ 15 кВ № 15-21 (инв. № 5114657) протяженностью 1,7 км в Гурьевском районе</v>
      </c>
    </row>
    <row r="22" spans="1:4" ht="16.5" thickBot="1" x14ac:dyDescent="0.3">
      <c r="A22" s="76" t="s">
        <v>282</v>
      </c>
      <c r="B22" s="367"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6" t="s">
        <v>264</v>
      </c>
      <c r="B23" s="368" t="s">
        <v>553</v>
      </c>
    </row>
    <row r="24" spans="1:4" ht="16.5" thickBot="1" x14ac:dyDescent="0.3">
      <c r="A24" s="76" t="s">
        <v>283</v>
      </c>
      <c r="B24" s="368" t="s">
        <v>549</v>
      </c>
    </row>
    <row r="25" spans="1:4" ht="16.5" thickBot="1" x14ac:dyDescent="0.3">
      <c r="A25" s="77" t="s">
        <v>284</v>
      </c>
      <c r="B25" s="367">
        <v>2023</v>
      </c>
    </row>
    <row r="26" spans="1:4" ht="16.5" thickBot="1" x14ac:dyDescent="0.3">
      <c r="A26" s="78" t="s">
        <v>285</v>
      </c>
      <c r="B26" s="251" t="s">
        <v>508</v>
      </c>
    </row>
    <row r="27" spans="1:4" ht="29.25" thickBot="1" x14ac:dyDescent="0.3">
      <c r="A27" s="84" t="s">
        <v>547</v>
      </c>
      <c r="B27" s="369">
        <f>'6.2. Паспорт фин осв ввод'!C24</f>
        <v>6.6338254799999996</v>
      </c>
    </row>
    <row r="28" spans="1:4" ht="60.75" thickBot="1" x14ac:dyDescent="0.3">
      <c r="A28" s="80" t="s">
        <v>286</v>
      </c>
      <c r="B28" s="80" t="s">
        <v>548</v>
      </c>
    </row>
    <row r="29" spans="1:4" ht="29.25" thickBot="1" x14ac:dyDescent="0.3">
      <c r="A29" s="85" t="s">
        <v>287</v>
      </c>
      <c r="B29" s="370">
        <f>'7. Паспорт отчет о закупке'!AD27/1000</f>
        <v>0</v>
      </c>
    </row>
    <row r="30" spans="1:4" ht="29.25" thickBot="1" x14ac:dyDescent="0.3">
      <c r="A30" s="85" t="s">
        <v>288</v>
      </c>
      <c r="B30" s="370">
        <f>B32+B49+B66</f>
        <v>0</v>
      </c>
      <c r="C30" s="51"/>
      <c r="D30" s="51"/>
    </row>
    <row r="31" spans="1:4" ht="16.5" thickBot="1" x14ac:dyDescent="0.3">
      <c r="A31" s="80" t="s">
        <v>289</v>
      </c>
      <c r="B31" s="252"/>
      <c r="C31" s="51"/>
      <c r="D31" s="51"/>
    </row>
    <row r="32" spans="1:4" ht="29.25" thickBot="1" x14ac:dyDescent="0.3">
      <c r="A32" s="85" t="s">
        <v>290</v>
      </c>
      <c r="B32" s="370">
        <f>SUMIF(C33:C48,10,B33:B48)</f>
        <v>0</v>
      </c>
      <c r="C32" s="51"/>
      <c r="D32" s="51"/>
    </row>
    <row r="33" spans="1:4" s="254" customFormat="1" ht="16.5" thickBot="1" x14ac:dyDescent="0.3">
      <c r="A33" s="253" t="s">
        <v>291</v>
      </c>
      <c r="B33" s="371"/>
      <c r="C33" s="51">
        <v>10</v>
      </c>
      <c r="D33" s="51"/>
    </row>
    <row r="34" spans="1:4" ht="16.5" thickBot="1" x14ac:dyDescent="0.3">
      <c r="A34" s="80" t="s">
        <v>292</v>
      </c>
      <c r="B34" s="255">
        <f>B33/$B$27</f>
        <v>0</v>
      </c>
      <c r="C34" s="51"/>
      <c r="D34" s="51"/>
    </row>
    <row r="35" spans="1:4" ht="16.5" thickBot="1" x14ac:dyDescent="0.3">
      <c r="A35" s="80" t="s">
        <v>293</v>
      </c>
      <c r="B35" s="370"/>
      <c r="C35" s="51">
        <v>1</v>
      </c>
      <c r="D35" s="51"/>
    </row>
    <row r="36" spans="1:4" ht="16.5" thickBot="1" x14ac:dyDescent="0.3">
      <c r="A36" s="80" t="s">
        <v>294</v>
      </c>
      <c r="B36" s="370"/>
      <c r="C36" s="51">
        <v>2</v>
      </c>
      <c r="D36" s="51"/>
    </row>
    <row r="37" spans="1:4" s="254" customFormat="1" ht="16.5" thickBot="1" x14ac:dyDescent="0.3">
      <c r="A37" s="253" t="s">
        <v>291</v>
      </c>
      <c r="B37" s="371"/>
      <c r="C37" s="51">
        <v>10</v>
      </c>
      <c r="D37" s="51"/>
    </row>
    <row r="38" spans="1:4" ht="16.5" thickBot="1" x14ac:dyDescent="0.3">
      <c r="A38" s="80" t="s">
        <v>292</v>
      </c>
      <c r="B38" s="255">
        <f t="shared" ref="B38" si="0">B37/$B$27</f>
        <v>0</v>
      </c>
      <c r="C38" s="51"/>
      <c r="D38" s="51"/>
    </row>
    <row r="39" spans="1:4" ht="16.5" thickBot="1" x14ac:dyDescent="0.3">
      <c r="A39" s="80" t="s">
        <v>293</v>
      </c>
      <c r="B39" s="370"/>
      <c r="C39" s="51">
        <v>1</v>
      </c>
      <c r="D39" s="51"/>
    </row>
    <row r="40" spans="1:4" ht="16.5" thickBot="1" x14ac:dyDescent="0.3">
      <c r="A40" s="80" t="s">
        <v>294</v>
      </c>
      <c r="B40" s="370"/>
      <c r="C40" s="51">
        <v>2</v>
      </c>
      <c r="D40" s="51"/>
    </row>
    <row r="41" spans="1:4" ht="16.5" thickBot="1" x14ac:dyDescent="0.3">
      <c r="A41" s="253" t="s">
        <v>291</v>
      </c>
      <c r="B41" s="371"/>
      <c r="C41" s="51">
        <v>10</v>
      </c>
      <c r="D41" s="51"/>
    </row>
    <row r="42" spans="1:4" ht="16.5" thickBot="1" x14ac:dyDescent="0.3">
      <c r="A42" s="80" t="s">
        <v>292</v>
      </c>
      <c r="B42" s="255">
        <f t="shared" ref="B42" si="1">B41/$B$27</f>
        <v>0</v>
      </c>
      <c r="C42" s="51"/>
      <c r="D42" s="51"/>
    </row>
    <row r="43" spans="1:4" ht="16.5" thickBot="1" x14ac:dyDescent="0.3">
      <c r="A43" s="80" t="s">
        <v>293</v>
      </c>
      <c r="B43" s="370"/>
      <c r="C43" s="51">
        <v>1</v>
      </c>
      <c r="D43" s="51"/>
    </row>
    <row r="44" spans="1:4" ht="16.5" thickBot="1" x14ac:dyDescent="0.3">
      <c r="A44" s="80" t="s">
        <v>294</v>
      </c>
      <c r="B44" s="370"/>
      <c r="C44" s="51">
        <v>2</v>
      </c>
      <c r="D44" s="51"/>
    </row>
    <row r="45" spans="1:4" ht="16.5" thickBot="1" x14ac:dyDescent="0.3">
      <c r="A45" s="253" t="s">
        <v>291</v>
      </c>
      <c r="B45" s="371"/>
      <c r="C45" s="51">
        <v>10</v>
      </c>
      <c r="D45" s="51"/>
    </row>
    <row r="46" spans="1:4" ht="16.5" thickBot="1" x14ac:dyDescent="0.3">
      <c r="A46" s="80" t="s">
        <v>292</v>
      </c>
      <c r="B46" s="255">
        <f t="shared" ref="B46" si="2">B45/$B$27</f>
        <v>0</v>
      </c>
      <c r="C46" s="51"/>
      <c r="D46" s="51"/>
    </row>
    <row r="47" spans="1:4" ht="16.5" thickBot="1" x14ac:dyDescent="0.3">
      <c r="A47" s="80" t="s">
        <v>293</v>
      </c>
      <c r="B47" s="370"/>
      <c r="C47" s="51">
        <v>1</v>
      </c>
      <c r="D47" s="51"/>
    </row>
    <row r="48" spans="1:4" ht="16.5" thickBot="1" x14ac:dyDescent="0.3">
      <c r="A48" s="80" t="s">
        <v>294</v>
      </c>
      <c r="B48" s="370"/>
      <c r="C48" s="51">
        <v>2</v>
      </c>
      <c r="D48" s="51"/>
    </row>
    <row r="49" spans="1:4" s="254" customFormat="1" ht="29.25" thickBot="1" x14ac:dyDescent="0.3">
      <c r="A49" s="85" t="s">
        <v>295</v>
      </c>
      <c r="B49" s="370">
        <f>SUMIF(C50:C65,20,B50:B65)</f>
        <v>0</v>
      </c>
      <c r="C49" s="51"/>
      <c r="D49" s="51"/>
    </row>
    <row r="50" spans="1:4" ht="16.5" thickBot="1" x14ac:dyDescent="0.3">
      <c r="A50" s="253" t="s">
        <v>291</v>
      </c>
      <c r="B50" s="371"/>
      <c r="C50" s="51">
        <v>20</v>
      </c>
      <c r="D50" s="51"/>
    </row>
    <row r="51" spans="1:4" ht="16.5" thickBot="1" x14ac:dyDescent="0.3">
      <c r="A51" s="80" t="s">
        <v>292</v>
      </c>
      <c r="B51" s="255">
        <f>B50/$B$27</f>
        <v>0</v>
      </c>
      <c r="C51" s="51"/>
      <c r="D51" s="51"/>
    </row>
    <row r="52" spans="1:4" ht="16.5" thickBot="1" x14ac:dyDescent="0.3">
      <c r="A52" s="80" t="s">
        <v>293</v>
      </c>
      <c r="B52" s="370"/>
      <c r="C52" s="51">
        <v>1</v>
      </c>
      <c r="D52" s="51"/>
    </row>
    <row r="53" spans="1:4" s="254" customFormat="1" ht="16.5" thickBot="1" x14ac:dyDescent="0.3">
      <c r="A53" s="80" t="s">
        <v>294</v>
      </c>
      <c r="B53" s="370"/>
      <c r="C53" s="51">
        <v>2</v>
      </c>
      <c r="D53" s="51"/>
    </row>
    <row r="54" spans="1:4" ht="16.5" thickBot="1" x14ac:dyDescent="0.3">
      <c r="A54" s="253" t="s">
        <v>291</v>
      </c>
      <c r="B54" s="371"/>
      <c r="C54" s="51">
        <v>20</v>
      </c>
      <c r="D54" s="51"/>
    </row>
    <row r="55" spans="1:4" ht="16.5" thickBot="1" x14ac:dyDescent="0.3">
      <c r="A55" s="80" t="s">
        <v>292</v>
      </c>
      <c r="B55" s="255">
        <f t="shared" ref="B55" si="3">B54/$B$27</f>
        <v>0</v>
      </c>
      <c r="C55" s="51"/>
      <c r="D55" s="51"/>
    </row>
    <row r="56" spans="1:4" ht="16.5" thickBot="1" x14ac:dyDescent="0.3">
      <c r="A56" s="80" t="s">
        <v>293</v>
      </c>
      <c r="B56" s="370"/>
      <c r="C56" s="51">
        <v>1</v>
      </c>
      <c r="D56" s="51"/>
    </row>
    <row r="57" spans="1:4" s="254" customFormat="1" ht="16.5" thickBot="1" x14ac:dyDescent="0.3">
      <c r="A57" s="80" t="s">
        <v>294</v>
      </c>
      <c r="B57" s="370"/>
      <c r="C57" s="51">
        <v>2</v>
      </c>
      <c r="D57" s="51"/>
    </row>
    <row r="58" spans="1:4" ht="16.5" thickBot="1" x14ac:dyDescent="0.3">
      <c r="A58" s="253" t="s">
        <v>291</v>
      </c>
      <c r="B58" s="371"/>
      <c r="C58" s="51">
        <v>20</v>
      </c>
      <c r="D58" s="51"/>
    </row>
    <row r="59" spans="1:4" ht="16.5" thickBot="1" x14ac:dyDescent="0.3">
      <c r="A59" s="80" t="s">
        <v>292</v>
      </c>
      <c r="B59" s="255">
        <f t="shared" ref="B59" si="4">B58/$B$27</f>
        <v>0</v>
      </c>
      <c r="C59" s="51"/>
      <c r="D59" s="51"/>
    </row>
    <row r="60" spans="1:4" ht="16.5" thickBot="1" x14ac:dyDescent="0.3">
      <c r="A60" s="80" t="s">
        <v>293</v>
      </c>
      <c r="B60" s="370"/>
      <c r="C60" s="51">
        <v>1</v>
      </c>
      <c r="D60" s="51"/>
    </row>
    <row r="61" spans="1:4" s="254" customFormat="1" ht="16.5" thickBot="1" x14ac:dyDescent="0.3">
      <c r="A61" s="80" t="s">
        <v>294</v>
      </c>
      <c r="B61" s="370"/>
      <c r="C61" s="51">
        <v>2</v>
      </c>
      <c r="D61" s="51"/>
    </row>
    <row r="62" spans="1:4" ht="16.5" thickBot="1" x14ac:dyDescent="0.3">
      <c r="A62" s="253" t="s">
        <v>291</v>
      </c>
      <c r="B62" s="371"/>
      <c r="C62" s="51">
        <v>20</v>
      </c>
      <c r="D62" s="51"/>
    </row>
    <row r="63" spans="1:4" ht="16.5" thickBot="1" x14ac:dyDescent="0.3">
      <c r="A63" s="80" t="s">
        <v>292</v>
      </c>
      <c r="B63" s="255">
        <f t="shared" ref="B63" si="5">B62/$B$27</f>
        <v>0</v>
      </c>
      <c r="C63" s="51"/>
      <c r="D63" s="51"/>
    </row>
    <row r="64" spans="1:4" ht="16.5" thickBot="1" x14ac:dyDescent="0.3">
      <c r="A64" s="80" t="s">
        <v>293</v>
      </c>
      <c r="B64" s="370"/>
      <c r="C64" s="51">
        <v>1</v>
      </c>
      <c r="D64" s="51"/>
    </row>
    <row r="65" spans="1:4" ht="16.5" thickBot="1" x14ac:dyDescent="0.3">
      <c r="A65" s="80" t="s">
        <v>294</v>
      </c>
      <c r="B65" s="370"/>
      <c r="C65" s="51">
        <v>2</v>
      </c>
      <c r="D65" s="51"/>
    </row>
    <row r="66" spans="1:4" s="254" customFormat="1" ht="29.25" thickBot="1" x14ac:dyDescent="0.3">
      <c r="A66" s="85" t="s">
        <v>296</v>
      </c>
      <c r="B66" s="370">
        <f>SUMIF(C67:C82,30,B67:B82)</f>
        <v>0</v>
      </c>
      <c r="C66" s="51"/>
      <c r="D66" s="51"/>
    </row>
    <row r="67" spans="1:4" ht="16.5" thickBot="1" x14ac:dyDescent="0.3">
      <c r="A67" s="253" t="s">
        <v>291</v>
      </c>
      <c r="B67" s="371"/>
      <c r="C67" s="51">
        <v>30</v>
      </c>
      <c r="D67" s="51"/>
    </row>
    <row r="68" spans="1:4" ht="16.5" thickBot="1" x14ac:dyDescent="0.3">
      <c r="A68" s="80" t="s">
        <v>292</v>
      </c>
      <c r="B68" s="255">
        <f t="shared" ref="B68" si="6">B67/$B$27</f>
        <v>0</v>
      </c>
      <c r="C68" s="51"/>
      <c r="D68" s="51"/>
    </row>
    <row r="69" spans="1:4" ht="16.5" thickBot="1" x14ac:dyDescent="0.3">
      <c r="A69" s="80" t="s">
        <v>293</v>
      </c>
      <c r="B69" s="370"/>
      <c r="C69" s="51">
        <v>1</v>
      </c>
      <c r="D69" s="51"/>
    </row>
    <row r="70" spans="1:4" s="254" customFormat="1" ht="16.5" thickBot="1" x14ac:dyDescent="0.3">
      <c r="A70" s="80" t="s">
        <v>294</v>
      </c>
      <c r="B70" s="370"/>
      <c r="C70" s="51">
        <v>2</v>
      </c>
      <c r="D70" s="51"/>
    </row>
    <row r="71" spans="1:4" ht="16.5" thickBot="1" x14ac:dyDescent="0.3">
      <c r="A71" s="253" t="s">
        <v>291</v>
      </c>
      <c r="B71" s="371"/>
      <c r="C71" s="51">
        <v>30</v>
      </c>
      <c r="D71" s="51"/>
    </row>
    <row r="72" spans="1:4" ht="16.5" thickBot="1" x14ac:dyDescent="0.3">
      <c r="A72" s="80" t="s">
        <v>292</v>
      </c>
      <c r="B72" s="255">
        <f t="shared" ref="B72" si="7">B71/$B$27</f>
        <v>0</v>
      </c>
      <c r="C72" s="51"/>
      <c r="D72" s="51"/>
    </row>
    <row r="73" spans="1:4" ht="16.5" thickBot="1" x14ac:dyDescent="0.3">
      <c r="A73" s="80" t="s">
        <v>293</v>
      </c>
      <c r="B73" s="370"/>
      <c r="C73" s="51">
        <v>1</v>
      </c>
      <c r="D73" s="51"/>
    </row>
    <row r="74" spans="1:4" s="254" customFormat="1" ht="16.5" thickBot="1" x14ac:dyDescent="0.3">
      <c r="A74" s="80" t="s">
        <v>294</v>
      </c>
      <c r="B74" s="370"/>
      <c r="C74" s="51">
        <v>2</v>
      </c>
      <c r="D74" s="51"/>
    </row>
    <row r="75" spans="1:4" ht="16.5" thickBot="1" x14ac:dyDescent="0.3">
      <c r="A75" s="253" t="s">
        <v>291</v>
      </c>
      <c r="B75" s="371"/>
      <c r="C75" s="51">
        <v>30</v>
      </c>
      <c r="D75" s="51"/>
    </row>
    <row r="76" spans="1:4" ht="16.5" thickBot="1" x14ac:dyDescent="0.3">
      <c r="A76" s="80" t="s">
        <v>292</v>
      </c>
      <c r="B76" s="255">
        <f t="shared" ref="B76" si="8">B75/$B$27</f>
        <v>0</v>
      </c>
      <c r="C76" s="51"/>
      <c r="D76" s="51"/>
    </row>
    <row r="77" spans="1:4" ht="16.5" thickBot="1" x14ac:dyDescent="0.3">
      <c r="A77" s="80" t="s">
        <v>293</v>
      </c>
      <c r="B77" s="370"/>
      <c r="C77" s="51">
        <v>1</v>
      </c>
      <c r="D77" s="51"/>
    </row>
    <row r="78" spans="1:4" ht="16.5" thickBot="1" x14ac:dyDescent="0.3">
      <c r="A78" s="80" t="s">
        <v>294</v>
      </c>
      <c r="B78" s="370"/>
      <c r="C78" s="51">
        <v>2</v>
      </c>
      <c r="D78" s="51"/>
    </row>
    <row r="79" spans="1:4" ht="16.5" thickBot="1" x14ac:dyDescent="0.3">
      <c r="A79" s="253" t="s">
        <v>291</v>
      </c>
      <c r="B79" s="371"/>
      <c r="C79" s="51">
        <v>30</v>
      </c>
      <c r="D79" s="51"/>
    </row>
    <row r="80" spans="1:4" ht="16.5" thickBot="1" x14ac:dyDescent="0.3">
      <c r="A80" s="80" t="s">
        <v>292</v>
      </c>
      <c r="B80" s="255">
        <f t="shared" ref="B80" si="9">B79/$B$27</f>
        <v>0</v>
      </c>
      <c r="C80" s="51"/>
      <c r="D80" s="51"/>
    </row>
    <row r="81" spans="1:4" ht="16.5" thickBot="1" x14ac:dyDescent="0.3">
      <c r="A81" s="80" t="s">
        <v>293</v>
      </c>
      <c r="B81" s="370"/>
      <c r="C81" s="51">
        <v>1</v>
      </c>
      <c r="D81" s="51"/>
    </row>
    <row r="82" spans="1:4" ht="16.5" thickBot="1" x14ac:dyDescent="0.3">
      <c r="A82" s="80" t="s">
        <v>294</v>
      </c>
      <c r="B82" s="370"/>
      <c r="C82" s="51">
        <v>2</v>
      </c>
      <c r="D82" s="51"/>
    </row>
    <row r="83" spans="1:4" ht="29.25" thickBot="1" x14ac:dyDescent="0.3">
      <c r="A83" s="79" t="s">
        <v>297</v>
      </c>
      <c r="B83" s="372">
        <f>B30/B27</f>
        <v>0</v>
      </c>
      <c r="C83" s="51"/>
      <c r="D83" s="51"/>
    </row>
    <row r="84" spans="1:4" ht="15.75" customHeight="1" thickBot="1" x14ac:dyDescent="0.3">
      <c r="A84" s="81" t="s">
        <v>289</v>
      </c>
      <c r="B84" s="373"/>
      <c r="C84" s="51"/>
      <c r="D84" s="51"/>
    </row>
    <row r="85" spans="1:4" ht="16.5" thickBot="1" x14ac:dyDescent="0.3">
      <c r="A85" s="81" t="s">
        <v>298</v>
      </c>
      <c r="B85" s="372"/>
      <c r="C85" s="51"/>
      <c r="D85" s="51"/>
    </row>
    <row r="86" spans="1:4" ht="16.5" thickBot="1" x14ac:dyDescent="0.3">
      <c r="A86" s="81" t="s">
        <v>299</v>
      </c>
      <c r="B86" s="372"/>
      <c r="C86" s="51"/>
      <c r="D86" s="51"/>
    </row>
    <row r="87" spans="1:4" ht="16.5" thickBot="1" x14ac:dyDescent="0.3">
      <c r="A87" s="81" t="s">
        <v>300</v>
      </c>
      <c r="B87" s="372"/>
      <c r="C87" s="51"/>
      <c r="D87" s="51"/>
    </row>
    <row r="88" spans="1:4" ht="16.5" thickBot="1" x14ac:dyDescent="0.3">
      <c r="A88" s="77" t="s">
        <v>301</v>
      </c>
      <c r="B88" s="256">
        <f>B89/$B$27</f>
        <v>0</v>
      </c>
      <c r="C88" s="51"/>
      <c r="D88" s="51"/>
    </row>
    <row r="89" spans="1:4" ht="16.5" thickBot="1" x14ac:dyDescent="0.3">
      <c r="A89" s="77" t="s">
        <v>302</v>
      </c>
      <c r="B89" s="261">
        <f xml:space="preserve"> SUMIF(C33:C82, 1,B33:B82)</f>
        <v>0</v>
      </c>
      <c r="C89" s="51"/>
      <c r="D89" s="51"/>
    </row>
    <row r="90" spans="1:4" ht="16.5" thickBot="1" x14ac:dyDescent="0.3">
      <c r="A90" s="77" t="s">
        <v>303</v>
      </c>
      <c r="B90" s="256">
        <f>B91/$B$27</f>
        <v>0</v>
      </c>
      <c r="C90" s="51"/>
      <c r="D90" s="51"/>
    </row>
    <row r="91" spans="1:4" ht="16.5" thickBot="1" x14ac:dyDescent="0.3">
      <c r="A91" s="78" t="s">
        <v>304</v>
      </c>
      <c r="B91" s="261">
        <f xml:space="preserve"> SUMIF(C33:C82, 2,B33:B82)</f>
        <v>0</v>
      </c>
      <c r="C91" s="51"/>
      <c r="D91" s="51"/>
    </row>
    <row r="92" spans="1:4" ht="30" x14ac:dyDescent="0.25">
      <c r="A92" s="79" t="s">
        <v>305</v>
      </c>
      <c r="B92" s="81" t="s">
        <v>509</v>
      </c>
      <c r="C92" s="51"/>
      <c r="D92" s="51"/>
    </row>
    <row r="93" spans="1:4" x14ac:dyDescent="0.25">
      <c r="A93" s="82" t="s">
        <v>306</v>
      </c>
      <c r="B93" s="82" t="s">
        <v>559</v>
      </c>
      <c r="C93" s="51"/>
      <c r="D93" s="51"/>
    </row>
    <row r="94" spans="1:4" x14ac:dyDescent="0.25">
      <c r="A94" s="82" t="s">
        <v>307</v>
      </c>
      <c r="B94" s="82"/>
      <c r="C94" s="51"/>
      <c r="D94" s="51"/>
    </row>
    <row r="95" spans="1:4" x14ac:dyDescent="0.25">
      <c r="A95" s="82" t="s">
        <v>308</v>
      </c>
      <c r="B95" s="82"/>
      <c r="C95" s="51"/>
      <c r="D95" s="51"/>
    </row>
    <row r="96" spans="1:4" x14ac:dyDescent="0.25">
      <c r="A96" s="82" t="s">
        <v>309</v>
      </c>
      <c r="B96" s="82"/>
      <c r="C96" s="51"/>
      <c r="D96" s="51"/>
    </row>
    <row r="97" spans="1:4" ht="16.5" thickBot="1" x14ac:dyDescent="0.3">
      <c r="A97" s="83" t="s">
        <v>310</v>
      </c>
      <c r="B97" s="83"/>
      <c r="C97" s="51"/>
      <c r="D97" s="51"/>
    </row>
    <row r="98" spans="1:4" ht="30.75" thickBot="1" x14ac:dyDescent="0.3">
      <c r="A98" s="81" t="s">
        <v>311</v>
      </c>
      <c r="B98" s="257" t="s">
        <v>455</v>
      </c>
      <c r="C98" s="51"/>
      <c r="D98" s="51"/>
    </row>
    <row r="99" spans="1:4" ht="29.25" thickBot="1" x14ac:dyDescent="0.3">
      <c r="A99" s="77" t="s">
        <v>312</v>
      </c>
      <c r="B99" s="374">
        <v>7</v>
      </c>
      <c r="C99" s="51"/>
      <c r="D99" s="51"/>
    </row>
    <row r="100" spans="1:4" ht="16.5" thickBot="1" x14ac:dyDescent="0.3">
      <c r="A100" s="81" t="s">
        <v>289</v>
      </c>
      <c r="B100" s="375"/>
      <c r="C100" s="51"/>
      <c r="D100" s="51"/>
    </row>
    <row r="101" spans="1:4" ht="28.5" customHeight="1" thickBot="1" x14ac:dyDescent="0.3">
      <c r="A101" s="81" t="s">
        <v>313</v>
      </c>
      <c r="B101" s="374">
        <v>4</v>
      </c>
      <c r="C101" s="51"/>
      <c r="D101" s="51"/>
    </row>
    <row r="102" spans="1:4" ht="16.5" thickBot="1" x14ac:dyDescent="0.3">
      <c r="A102" s="81" t="s">
        <v>314</v>
      </c>
      <c r="B102" s="374">
        <v>3</v>
      </c>
      <c r="C102" s="51"/>
      <c r="D102" s="51"/>
    </row>
    <row r="103" spans="1:4" ht="16.5" thickBot="1" x14ac:dyDescent="0.3">
      <c r="A103" s="86" t="s">
        <v>315</v>
      </c>
      <c r="B103" s="260" t="s">
        <v>455</v>
      </c>
      <c r="C103" s="51"/>
      <c r="D103" s="51"/>
    </row>
    <row r="104" spans="1:4" ht="16.5" thickBot="1" x14ac:dyDescent="0.3">
      <c r="A104" s="77" t="s">
        <v>316</v>
      </c>
      <c r="B104" s="259"/>
      <c r="C104" s="51"/>
      <c r="D104" s="51"/>
    </row>
    <row r="105" spans="1:4" ht="16.5" thickBot="1" x14ac:dyDescent="0.3">
      <c r="A105" s="82" t="s">
        <v>317</v>
      </c>
      <c r="B105" s="260" t="s">
        <v>455</v>
      </c>
      <c r="C105" s="51"/>
      <c r="D105" s="51"/>
    </row>
    <row r="106" spans="1:4" ht="16.5" thickBot="1" x14ac:dyDescent="0.3">
      <c r="A106" s="82" t="s">
        <v>318</v>
      </c>
      <c r="B106" s="260" t="s">
        <v>455</v>
      </c>
      <c r="C106" s="51"/>
      <c r="D106" s="51"/>
    </row>
    <row r="107" spans="1:4" ht="16.5" thickBot="1" x14ac:dyDescent="0.3">
      <c r="A107" s="82" t="s">
        <v>319</v>
      </c>
      <c r="B107" s="260" t="s">
        <v>455</v>
      </c>
      <c r="C107" s="51"/>
      <c r="D107" s="51"/>
    </row>
    <row r="108" spans="1:4" ht="29.25" thickBot="1" x14ac:dyDescent="0.3">
      <c r="A108" s="87" t="s">
        <v>320</v>
      </c>
      <c r="B108" s="258" t="s">
        <v>516</v>
      </c>
      <c r="C108" s="51"/>
      <c r="D108" s="51"/>
    </row>
    <row r="109" spans="1:4" ht="28.5" x14ac:dyDescent="0.25">
      <c r="A109" s="79" t="s">
        <v>321</v>
      </c>
      <c r="B109" s="507" t="s">
        <v>412</v>
      </c>
      <c r="C109" s="51"/>
      <c r="D109" s="51"/>
    </row>
    <row r="110" spans="1:4" x14ac:dyDescent="0.25">
      <c r="A110" s="82" t="s">
        <v>322</v>
      </c>
      <c r="B110" s="508"/>
      <c r="C110" s="51"/>
      <c r="D110" s="51"/>
    </row>
    <row r="111" spans="1:4" x14ac:dyDescent="0.25">
      <c r="A111" s="82" t="s">
        <v>323</v>
      </c>
      <c r="B111" s="508"/>
      <c r="C111" s="51"/>
      <c r="D111" s="51"/>
    </row>
    <row r="112" spans="1:4" x14ac:dyDescent="0.25">
      <c r="A112" s="82" t="s">
        <v>324</v>
      </c>
      <c r="B112" s="508"/>
      <c r="C112" s="51"/>
      <c r="D112" s="51"/>
    </row>
    <row r="113" spans="1:4" x14ac:dyDescent="0.25">
      <c r="A113" s="82" t="s">
        <v>325</v>
      </c>
      <c r="B113" s="508"/>
      <c r="C113" s="51"/>
      <c r="D113" s="51"/>
    </row>
    <row r="114" spans="1:4" ht="16.5" thickBot="1" x14ac:dyDescent="0.3">
      <c r="A114" s="88" t="s">
        <v>326</v>
      </c>
      <c r="B114" s="509"/>
      <c r="C114" s="51"/>
      <c r="D114" s="51"/>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70" zoomScaleSheetLayoutView="7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6" t="str">
        <f>CONCATENATE('1. паспорт местоположение'!A5:B5,'1. паспорт местоположение'!C5)</f>
        <v>Год раскрытия информации: 2023 год</v>
      </c>
      <c r="B4" s="386"/>
      <c r="C4" s="386"/>
      <c r="D4" s="386"/>
      <c r="E4" s="386"/>
      <c r="F4" s="386"/>
      <c r="G4" s="386"/>
      <c r="H4" s="386"/>
      <c r="I4" s="386"/>
      <c r="J4" s="386"/>
      <c r="K4" s="386"/>
      <c r="L4" s="386"/>
      <c r="M4" s="386"/>
      <c r="N4" s="386"/>
      <c r="O4" s="386"/>
      <c r="P4" s="386"/>
      <c r="Q4" s="386"/>
      <c r="R4" s="386"/>
      <c r="S4" s="386"/>
    </row>
    <row r="5" spans="1:28" s="10" customFormat="1" ht="15.75" x14ac:dyDescent="0.2">
      <c r="A5" s="136"/>
      <c r="B5" s="16"/>
      <c r="C5" s="16"/>
      <c r="D5" s="16"/>
      <c r="E5" s="16"/>
      <c r="F5" s="16"/>
      <c r="G5" s="16"/>
      <c r="H5" s="16"/>
      <c r="I5" s="16"/>
      <c r="J5" s="16"/>
      <c r="K5" s="16"/>
      <c r="L5" s="16"/>
      <c r="M5" s="16"/>
      <c r="N5" s="16"/>
      <c r="O5" s="16"/>
      <c r="P5" s="16"/>
      <c r="Q5" s="16"/>
      <c r="R5" s="16"/>
      <c r="S5" s="16"/>
    </row>
    <row r="6" spans="1:28" s="10" customFormat="1" ht="18.75" x14ac:dyDescent="0.2">
      <c r="A6" s="395" t="s">
        <v>6</v>
      </c>
      <c r="B6" s="395"/>
      <c r="C6" s="395"/>
      <c r="D6" s="395"/>
      <c r="E6" s="395"/>
      <c r="F6" s="395"/>
      <c r="G6" s="395"/>
      <c r="H6" s="395"/>
      <c r="I6" s="395"/>
      <c r="J6" s="395"/>
      <c r="K6" s="395"/>
      <c r="L6" s="395"/>
      <c r="M6" s="395"/>
      <c r="N6" s="395"/>
      <c r="O6" s="395"/>
      <c r="P6" s="395"/>
      <c r="Q6" s="395"/>
      <c r="R6" s="395"/>
      <c r="S6" s="395"/>
      <c r="T6" s="11"/>
      <c r="U6" s="11"/>
      <c r="V6" s="11"/>
      <c r="W6" s="11"/>
      <c r="X6" s="11"/>
      <c r="Y6" s="11"/>
      <c r="Z6" s="11"/>
      <c r="AA6" s="11"/>
      <c r="AB6" s="11"/>
    </row>
    <row r="7" spans="1:28" s="10" customFormat="1" ht="18.75" x14ac:dyDescent="0.2">
      <c r="A7" s="395"/>
      <c r="B7" s="395"/>
      <c r="C7" s="395"/>
      <c r="D7" s="395"/>
      <c r="E7" s="395"/>
      <c r="F7" s="395"/>
      <c r="G7" s="395"/>
      <c r="H7" s="395"/>
      <c r="I7" s="395"/>
      <c r="J7" s="395"/>
      <c r="K7" s="395"/>
      <c r="L7" s="395"/>
      <c r="M7" s="395"/>
      <c r="N7" s="395"/>
      <c r="O7" s="395"/>
      <c r="P7" s="395"/>
      <c r="Q7" s="395"/>
      <c r="R7" s="395"/>
      <c r="S7" s="395"/>
      <c r="T7" s="11"/>
      <c r="U7" s="11"/>
      <c r="V7" s="11"/>
      <c r="W7" s="11"/>
      <c r="X7" s="11"/>
      <c r="Y7" s="11"/>
      <c r="Z7" s="11"/>
      <c r="AA7" s="11"/>
      <c r="AB7" s="11"/>
    </row>
    <row r="8" spans="1:28" s="10" customFormat="1" ht="18.75" x14ac:dyDescent="0.2">
      <c r="A8" s="396" t="str">
        <f>'1. паспорт местоположение'!A9:C9</f>
        <v>Акционерное общество "Россети Янтарь"</v>
      </c>
      <c r="B8" s="396"/>
      <c r="C8" s="396"/>
      <c r="D8" s="396"/>
      <c r="E8" s="396"/>
      <c r="F8" s="396"/>
      <c r="G8" s="396"/>
      <c r="H8" s="396"/>
      <c r="I8" s="396"/>
      <c r="J8" s="396"/>
      <c r="K8" s="396"/>
      <c r="L8" s="396"/>
      <c r="M8" s="396"/>
      <c r="N8" s="396"/>
      <c r="O8" s="396"/>
      <c r="P8" s="396"/>
      <c r="Q8" s="396"/>
      <c r="R8" s="396"/>
      <c r="S8" s="396"/>
      <c r="T8" s="11"/>
      <c r="U8" s="11"/>
      <c r="V8" s="11"/>
      <c r="W8" s="11"/>
      <c r="X8" s="11"/>
      <c r="Y8" s="11"/>
      <c r="Z8" s="11"/>
      <c r="AA8" s="11"/>
      <c r="AB8" s="11"/>
    </row>
    <row r="9" spans="1:28" s="10" customFormat="1" ht="18.75" x14ac:dyDescent="0.2">
      <c r="A9" s="392" t="s">
        <v>5</v>
      </c>
      <c r="B9" s="392"/>
      <c r="C9" s="392"/>
      <c r="D9" s="392"/>
      <c r="E9" s="392"/>
      <c r="F9" s="392"/>
      <c r="G9" s="392"/>
      <c r="H9" s="392"/>
      <c r="I9" s="392"/>
      <c r="J9" s="392"/>
      <c r="K9" s="392"/>
      <c r="L9" s="392"/>
      <c r="M9" s="392"/>
      <c r="N9" s="392"/>
      <c r="O9" s="392"/>
      <c r="P9" s="392"/>
      <c r="Q9" s="392"/>
      <c r="R9" s="392"/>
      <c r="S9" s="392"/>
      <c r="T9" s="11"/>
      <c r="U9" s="11"/>
      <c r="V9" s="11"/>
      <c r="W9" s="11"/>
      <c r="X9" s="11"/>
      <c r="Y9" s="11"/>
      <c r="Z9" s="11"/>
      <c r="AA9" s="11"/>
      <c r="AB9" s="11"/>
    </row>
    <row r="10" spans="1:28" s="10" customFormat="1" ht="18.75" x14ac:dyDescent="0.2">
      <c r="A10" s="395"/>
      <c r="B10" s="395"/>
      <c r="C10" s="395"/>
      <c r="D10" s="395"/>
      <c r="E10" s="395"/>
      <c r="F10" s="395"/>
      <c r="G10" s="395"/>
      <c r="H10" s="395"/>
      <c r="I10" s="395"/>
      <c r="J10" s="395"/>
      <c r="K10" s="395"/>
      <c r="L10" s="395"/>
      <c r="M10" s="395"/>
      <c r="N10" s="395"/>
      <c r="O10" s="395"/>
      <c r="P10" s="395"/>
      <c r="Q10" s="395"/>
      <c r="R10" s="395"/>
      <c r="S10" s="395"/>
      <c r="T10" s="11"/>
      <c r="U10" s="11"/>
      <c r="V10" s="11"/>
      <c r="W10" s="11"/>
      <c r="X10" s="11"/>
      <c r="Y10" s="11"/>
      <c r="Z10" s="11"/>
      <c r="AA10" s="11"/>
      <c r="AB10" s="11"/>
    </row>
    <row r="11" spans="1:28" s="10" customFormat="1" ht="18.75" x14ac:dyDescent="0.2">
      <c r="A11" s="396" t="str">
        <f>'1. паспорт местоположение'!A12:C12</f>
        <v>L_16-0257</v>
      </c>
      <c r="B11" s="396"/>
      <c r="C11" s="396"/>
      <c r="D11" s="396"/>
      <c r="E11" s="396"/>
      <c r="F11" s="396"/>
      <c r="G11" s="396"/>
      <c r="H11" s="396"/>
      <c r="I11" s="396"/>
      <c r="J11" s="396"/>
      <c r="K11" s="396"/>
      <c r="L11" s="396"/>
      <c r="M11" s="396"/>
      <c r="N11" s="396"/>
      <c r="O11" s="396"/>
      <c r="P11" s="396"/>
      <c r="Q11" s="396"/>
      <c r="R11" s="396"/>
      <c r="S11" s="396"/>
      <c r="T11" s="11"/>
      <c r="U11" s="11"/>
      <c r="V11" s="11"/>
      <c r="W11" s="11"/>
      <c r="X11" s="11"/>
      <c r="Y11" s="11"/>
      <c r="Z11" s="11"/>
      <c r="AA11" s="11"/>
      <c r="AB11" s="11"/>
    </row>
    <row r="12" spans="1:28" s="10" customFormat="1" ht="18.75" x14ac:dyDescent="0.2">
      <c r="A12" s="392" t="s">
        <v>4</v>
      </c>
      <c r="B12" s="392"/>
      <c r="C12" s="392"/>
      <c r="D12" s="392"/>
      <c r="E12" s="392"/>
      <c r="F12" s="392"/>
      <c r="G12" s="392"/>
      <c r="H12" s="392"/>
      <c r="I12" s="392"/>
      <c r="J12" s="392"/>
      <c r="K12" s="392"/>
      <c r="L12" s="392"/>
      <c r="M12" s="392"/>
      <c r="N12" s="392"/>
      <c r="O12" s="392"/>
      <c r="P12" s="392"/>
      <c r="Q12" s="392"/>
      <c r="R12" s="392"/>
      <c r="S12" s="392"/>
      <c r="T12" s="11"/>
      <c r="U12" s="11"/>
      <c r="V12" s="11"/>
      <c r="W12" s="11"/>
      <c r="X12" s="11"/>
      <c r="Y12" s="11"/>
      <c r="Z12" s="11"/>
      <c r="AA12" s="11"/>
      <c r="AB12" s="11"/>
    </row>
    <row r="13" spans="1:28" s="7"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8"/>
      <c r="U13" s="8"/>
      <c r="V13" s="8"/>
      <c r="W13" s="8"/>
      <c r="X13" s="8"/>
      <c r="Y13" s="8"/>
      <c r="Z13" s="8"/>
      <c r="AA13" s="8"/>
      <c r="AB13" s="8"/>
    </row>
    <row r="14" spans="1:28" s="2" customFormat="1" ht="15.75" x14ac:dyDescent="0.2">
      <c r="A14" s="391" t="str">
        <f>'1. паспорт местоположение'!A15:C15</f>
        <v>Строительство КЛ 15 кВ взамен существующей ВЛ 15 кВ № 15-21 (инв. № 5114657) протяженностью 1,7 км в Гурьевском районе</v>
      </c>
      <c r="B14" s="391"/>
      <c r="C14" s="391"/>
      <c r="D14" s="391"/>
      <c r="E14" s="391"/>
      <c r="F14" s="391"/>
      <c r="G14" s="391"/>
      <c r="H14" s="391"/>
      <c r="I14" s="391"/>
      <c r="J14" s="391"/>
      <c r="K14" s="391"/>
      <c r="L14" s="391"/>
      <c r="M14" s="391"/>
      <c r="N14" s="391"/>
      <c r="O14" s="391"/>
      <c r="P14" s="391"/>
      <c r="Q14" s="391"/>
      <c r="R14" s="391"/>
      <c r="S14" s="391"/>
      <c r="T14" s="6"/>
      <c r="U14" s="6"/>
      <c r="V14" s="6"/>
      <c r="W14" s="6"/>
      <c r="X14" s="6"/>
      <c r="Y14" s="6"/>
      <c r="Z14" s="6"/>
      <c r="AA14" s="6"/>
      <c r="AB14" s="6"/>
    </row>
    <row r="15" spans="1:28" s="2" customFormat="1" ht="15" customHeight="1" x14ac:dyDescent="0.2">
      <c r="A15" s="392" t="s">
        <v>3</v>
      </c>
      <c r="B15" s="392"/>
      <c r="C15" s="392"/>
      <c r="D15" s="392"/>
      <c r="E15" s="392"/>
      <c r="F15" s="392"/>
      <c r="G15" s="392"/>
      <c r="H15" s="392"/>
      <c r="I15" s="392"/>
      <c r="J15" s="392"/>
      <c r="K15" s="392"/>
      <c r="L15" s="392"/>
      <c r="M15" s="392"/>
      <c r="N15" s="392"/>
      <c r="O15" s="392"/>
      <c r="P15" s="392"/>
      <c r="Q15" s="392"/>
      <c r="R15" s="392"/>
      <c r="S15" s="392"/>
      <c r="T15" s="4"/>
      <c r="U15" s="4"/>
      <c r="V15" s="4"/>
      <c r="W15" s="4"/>
      <c r="X15" s="4"/>
      <c r="Y15" s="4"/>
      <c r="Z15" s="4"/>
      <c r="AA15" s="4"/>
      <c r="AB15" s="4"/>
    </row>
    <row r="16" spans="1:28" s="2"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3"/>
      <c r="U16" s="3"/>
      <c r="V16" s="3"/>
      <c r="W16" s="3"/>
      <c r="X16" s="3"/>
      <c r="Y16" s="3"/>
    </row>
    <row r="17" spans="1:28" s="2" customFormat="1" ht="45.75" customHeight="1" x14ac:dyDescent="0.2">
      <c r="A17" s="384" t="s">
        <v>356</v>
      </c>
      <c r="B17" s="384"/>
      <c r="C17" s="384"/>
      <c r="D17" s="384"/>
      <c r="E17" s="384"/>
      <c r="F17" s="384"/>
      <c r="G17" s="384"/>
      <c r="H17" s="384"/>
      <c r="I17" s="384"/>
      <c r="J17" s="384"/>
      <c r="K17" s="384"/>
      <c r="L17" s="384"/>
      <c r="M17" s="384"/>
      <c r="N17" s="384"/>
      <c r="O17" s="384"/>
      <c r="P17" s="384"/>
      <c r="Q17" s="384"/>
      <c r="R17" s="384"/>
      <c r="S17" s="384"/>
      <c r="T17" s="5"/>
      <c r="U17" s="5"/>
      <c r="V17" s="5"/>
      <c r="W17" s="5"/>
      <c r="X17" s="5"/>
      <c r="Y17" s="5"/>
      <c r="Z17" s="5"/>
      <c r="AA17" s="5"/>
      <c r="AB17" s="5"/>
    </row>
    <row r="18" spans="1:28" s="2"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
      <c r="U18" s="3"/>
      <c r="V18" s="3"/>
      <c r="W18" s="3"/>
      <c r="X18" s="3"/>
      <c r="Y18" s="3"/>
    </row>
    <row r="19" spans="1:28" s="2" customFormat="1" ht="54" customHeight="1" x14ac:dyDescent="0.2">
      <c r="A19" s="398" t="s">
        <v>2</v>
      </c>
      <c r="B19" s="398" t="s">
        <v>93</v>
      </c>
      <c r="C19" s="399" t="s">
        <v>280</v>
      </c>
      <c r="D19" s="398" t="s">
        <v>279</v>
      </c>
      <c r="E19" s="398" t="s">
        <v>92</v>
      </c>
      <c r="F19" s="398" t="s">
        <v>91</v>
      </c>
      <c r="G19" s="398" t="s">
        <v>275</v>
      </c>
      <c r="H19" s="398" t="s">
        <v>90</v>
      </c>
      <c r="I19" s="398" t="s">
        <v>89</v>
      </c>
      <c r="J19" s="398" t="s">
        <v>88</v>
      </c>
      <c r="K19" s="398" t="s">
        <v>87</v>
      </c>
      <c r="L19" s="398" t="s">
        <v>86</v>
      </c>
      <c r="M19" s="398" t="s">
        <v>85</v>
      </c>
      <c r="N19" s="398" t="s">
        <v>84</v>
      </c>
      <c r="O19" s="398" t="s">
        <v>83</v>
      </c>
      <c r="P19" s="398" t="s">
        <v>82</v>
      </c>
      <c r="Q19" s="398" t="s">
        <v>278</v>
      </c>
      <c r="R19" s="398"/>
      <c r="S19" s="401" t="s">
        <v>350</v>
      </c>
      <c r="T19" s="3"/>
      <c r="U19" s="3"/>
      <c r="V19" s="3"/>
      <c r="W19" s="3"/>
      <c r="X19" s="3"/>
      <c r="Y19" s="3"/>
    </row>
    <row r="20" spans="1:28" s="2" customFormat="1" ht="180.75" customHeight="1" x14ac:dyDescent="0.2">
      <c r="A20" s="398"/>
      <c r="B20" s="398"/>
      <c r="C20" s="400"/>
      <c r="D20" s="398"/>
      <c r="E20" s="398"/>
      <c r="F20" s="398"/>
      <c r="G20" s="398"/>
      <c r="H20" s="398"/>
      <c r="I20" s="398"/>
      <c r="J20" s="398"/>
      <c r="K20" s="398"/>
      <c r="L20" s="398"/>
      <c r="M20" s="398"/>
      <c r="N20" s="398"/>
      <c r="O20" s="398"/>
      <c r="P20" s="398"/>
      <c r="Q20" s="36" t="s">
        <v>276</v>
      </c>
      <c r="R20" s="37" t="s">
        <v>277</v>
      </c>
      <c r="S20" s="401"/>
      <c r="T20" s="26"/>
      <c r="U20" s="26"/>
      <c r="V20" s="26"/>
      <c r="W20" s="26"/>
      <c r="X20" s="26"/>
      <c r="Y20" s="26"/>
      <c r="Z20" s="25"/>
      <c r="AA20" s="25"/>
      <c r="AB20" s="25"/>
    </row>
    <row r="21" spans="1:28" s="2" customFormat="1" ht="18.75" x14ac:dyDescent="0.2">
      <c r="A21" s="36">
        <v>1</v>
      </c>
      <c r="B21" s="39">
        <v>2</v>
      </c>
      <c r="C21" s="36">
        <v>3</v>
      </c>
      <c r="D21" s="39">
        <v>4</v>
      </c>
      <c r="E21" s="36">
        <v>5</v>
      </c>
      <c r="F21" s="39">
        <v>6</v>
      </c>
      <c r="G21" s="91">
        <v>7</v>
      </c>
      <c r="H21" s="92">
        <v>8</v>
      </c>
      <c r="I21" s="91">
        <v>9</v>
      </c>
      <c r="J21" s="92">
        <v>10</v>
      </c>
      <c r="K21" s="91">
        <v>11</v>
      </c>
      <c r="L21" s="92">
        <v>12</v>
      </c>
      <c r="M21" s="91">
        <v>13</v>
      </c>
      <c r="N21" s="92">
        <v>14</v>
      </c>
      <c r="O21" s="91">
        <v>15</v>
      </c>
      <c r="P21" s="92">
        <v>16</v>
      </c>
      <c r="Q21" s="91">
        <v>17</v>
      </c>
      <c r="R21" s="92">
        <v>18</v>
      </c>
      <c r="S21" s="91">
        <v>19</v>
      </c>
      <c r="T21" s="26"/>
      <c r="U21" s="26"/>
      <c r="V21" s="26"/>
      <c r="W21" s="26"/>
      <c r="X21" s="26"/>
      <c r="Y21" s="26"/>
      <c r="Z21" s="25"/>
      <c r="AA21" s="25"/>
      <c r="AB21" s="25"/>
    </row>
    <row r="22" spans="1:28" s="2" customFormat="1" ht="32.25" customHeight="1" x14ac:dyDescent="0.2">
      <c r="A22" s="36" t="s">
        <v>274</v>
      </c>
      <c r="B22" s="130" t="s">
        <v>274</v>
      </c>
      <c r="C22" s="130" t="s">
        <v>274</v>
      </c>
      <c r="D22" s="130" t="s">
        <v>274</v>
      </c>
      <c r="E22" s="130" t="s">
        <v>274</v>
      </c>
      <c r="F22" s="130" t="s">
        <v>274</v>
      </c>
      <c r="G22" s="130" t="s">
        <v>274</v>
      </c>
      <c r="H22" s="130" t="s">
        <v>274</v>
      </c>
      <c r="I22" s="130" t="s">
        <v>274</v>
      </c>
      <c r="J22" s="130" t="s">
        <v>274</v>
      </c>
      <c r="K22" s="130" t="s">
        <v>274</v>
      </c>
      <c r="L22" s="130" t="s">
        <v>274</v>
      </c>
      <c r="M22" s="130" t="s">
        <v>274</v>
      </c>
      <c r="N22" s="130" t="s">
        <v>274</v>
      </c>
      <c r="O22" s="130" t="s">
        <v>274</v>
      </c>
      <c r="P22" s="130" t="s">
        <v>274</v>
      </c>
      <c r="Q22" s="130" t="s">
        <v>274</v>
      </c>
      <c r="R22" s="130" t="s">
        <v>274</v>
      </c>
      <c r="S22" s="130"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9"/>
  <sheetViews>
    <sheetView view="pageBreakPreview" zoomScale="60" zoomScaleNormal="60" workbookViewId="0">
      <selection activeCell="O26" sqref="O26"/>
    </sheetView>
  </sheetViews>
  <sheetFormatPr defaultColWidth="10.7109375" defaultRowHeight="15.75" x14ac:dyDescent="0.25"/>
  <cols>
    <col min="1" max="1" width="9.5703125" style="40" customWidth="1"/>
    <col min="2" max="2" width="16" style="40" customWidth="1"/>
    <col min="3" max="3" width="15.85546875" style="40" customWidth="1"/>
    <col min="4" max="4" width="18.42578125" style="40" customWidth="1"/>
    <col min="5" max="5" width="11.140625" style="40" customWidth="1"/>
    <col min="6" max="6" width="11" style="40" customWidth="1"/>
    <col min="7" max="7" width="14.85546875" style="40" customWidth="1"/>
    <col min="8" max="8" width="14" style="40" customWidth="1"/>
    <col min="9" max="9" width="7.28515625" style="40" customWidth="1"/>
    <col min="10" max="10" width="11.85546875" style="40" customWidth="1"/>
    <col min="11" max="11" width="10.28515625" style="40" customWidth="1"/>
    <col min="12" max="15" width="8.7109375" style="40" customWidth="1"/>
    <col min="16" max="16" width="19.42578125" style="40" customWidth="1"/>
    <col min="17" max="17" width="74.140625" style="40" customWidth="1"/>
    <col min="18" max="18" width="22.28515625" style="40" customWidth="1"/>
    <col min="19" max="19" width="25.7109375" style="40" customWidth="1"/>
    <col min="20" max="20" width="6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15" customHeight="1" x14ac:dyDescent="0.25">
      <c r="T1" s="35"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6" t="str">
        <f>'2. паспорт  ТП'!A4</f>
        <v>Год раскрытия информации: 2023 год</v>
      </c>
      <c r="B5" s="386"/>
      <c r="C5" s="386"/>
      <c r="D5" s="386"/>
      <c r="E5" s="386"/>
      <c r="F5" s="386"/>
      <c r="G5" s="386"/>
      <c r="H5" s="386"/>
      <c r="I5" s="386"/>
      <c r="J5" s="386"/>
      <c r="K5" s="386"/>
      <c r="L5" s="386"/>
      <c r="M5" s="386"/>
      <c r="N5" s="386"/>
      <c r="O5" s="386"/>
      <c r="P5" s="386"/>
      <c r="Q5" s="386"/>
      <c r="R5" s="386"/>
      <c r="S5" s="386"/>
      <c r="T5" s="386"/>
    </row>
    <row r="6" spans="1:20" s="10" customFormat="1" x14ac:dyDescent="0.2">
      <c r="A6" s="136"/>
      <c r="B6" s="16"/>
      <c r="C6" s="16"/>
      <c r="D6" s="16"/>
      <c r="E6" s="16"/>
      <c r="F6" s="16"/>
      <c r="G6" s="16"/>
      <c r="H6" s="137"/>
      <c r="I6" s="16"/>
      <c r="J6" s="16"/>
      <c r="K6" s="16"/>
      <c r="L6" s="16"/>
      <c r="M6" s="16"/>
      <c r="N6" s="16"/>
      <c r="O6" s="16"/>
      <c r="P6" s="16"/>
      <c r="Q6" s="16"/>
      <c r="R6" s="16"/>
      <c r="S6" s="16"/>
      <c r="T6" s="16"/>
    </row>
    <row r="7" spans="1:20" s="10" customFormat="1" ht="18.75" x14ac:dyDescent="0.2">
      <c r="A7" s="395" t="s">
        <v>6</v>
      </c>
      <c r="B7" s="395"/>
      <c r="C7" s="395"/>
      <c r="D7" s="395"/>
      <c r="E7" s="395"/>
      <c r="F7" s="395"/>
      <c r="G7" s="395"/>
      <c r="H7" s="395"/>
      <c r="I7" s="395"/>
      <c r="J7" s="395"/>
      <c r="K7" s="395"/>
      <c r="L7" s="395"/>
      <c r="M7" s="395"/>
      <c r="N7" s="395"/>
      <c r="O7" s="395"/>
      <c r="P7" s="395"/>
      <c r="Q7" s="395"/>
      <c r="R7" s="395"/>
      <c r="S7" s="395"/>
      <c r="T7" s="395"/>
    </row>
    <row r="8" spans="1:20" s="10" customFormat="1" ht="18.75" x14ac:dyDescent="0.2">
      <c r="A8" s="395"/>
      <c r="B8" s="395"/>
      <c r="C8" s="395"/>
      <c r="D8" s="395"/>
      <c r="E8" s="395"/>
      <c r="F8" s="395"/>
      <c r="G8" s="395"/>
      <c r="H8" s="395"/>
      <c r="I8" s="395"/>
      <c r="J8" s="395"/>
      <c r="K8" s="395"/>
      <c r="L8" s="395"/>
      <c r="M8" s="395"/>
      <c r="N8" s="395"/>
      <c r="O8" s="395"/>
      <c r="P8" s="395"/>
      <c r="Q8" s="395"/>
      <c r="R8" s="395"/>
      <c r="S8" s="395"/>
      <c r="T8" s="395"/>
    </row>
    <row r="9" spans="1:20" s="10" customFormat="1" ht="18.75" customHeight="1" x14ac:dyDescent="0.2">
      <c r="A9" s="396" t="str">
        <f>'2. паспорт  ТП'!A8</f>
        <v>Акционерное общество "Россети Янтарь"</v>
      </c>
      <c r="B9" s="396"/>
      <c r="C9" s="396"/>
      <c r="D9" s="396"/>
      <c r="E9" s="396"/>
      <c r="F9" s="396"/>
      <c r="G9" s="396"/>
      <c r="H9" s="396"/>
      <c r="I9" s="396"/>
      <c r="J9" s="396"/>
      <c r="K9" s="396"/>
      <c r="L9" s="396"/>
      <c r="M9" s="396"/>
      <c r="N9" s="396"/>
      <c r="O9" s="396"/>
      <c r="P9" s="396"/>
      <c r="Q9" s="396"/>
      <c r="R9" s="396"/>
      <c r="S9" s="396"/>
      <c r="T9" s="396"/>
    </row>
    <row r="10" spans="1:20" s="10" customFormat="1" ht="18.75" customHeight="1" x14ac:dyDescent="0.2">
      <c r="A10" s="392" t="s">
        <v>5</v>
      </c>
      <c r="B10" s="392"/>
      <c r="C10" s="392"/>
      <c r="D10" s="392"/>
      <c r="E10" s="392"/>
      <c r="F10" s="392"/>
      <c r="G10" s="392"/>
      <c r="H10" s="392"/>
      <c r="I10" s="392"/>
      <c r="J10" s="392"/>
      <c r="K10" s="392"/>
      <c r="L10" s="392"/>
      <c r="M10" s="392"/>
      <c r="N10" s="392"/>
      <c r="O10" s="392"/>
      <c r="P10" s="392"/>
      <c r="Q10" s="392"/>
      <c r="R10" s="392"/>
      <c r="S10" s="392"/>
      <c r="T10" s="392"/>
    </row>
    <row r="11" spans="1:20" s="10" customFormat="1" ht="18.75" x14ac:dyDescent="0.2">
      <c r="A11" s="395"/>
      <c r="B11" s="395"/>
      <c r="C11" s="395"/>
      <c r="D11" s="395"/>
      <c r="E11" s="395"/>
      <c r="F11" s="395"/>
      <c r="G11" s="395"/>
      <c r="H11" s="395"/>
      <c r="I11" s="395"/>
      <c r="J11" s="395"/>
      <c r="K11" s="395"/>
      <c r="L11" s="395"/>
      <c r="M11" s="395"/>
      <c r="N11" s="395"/>
      <c r="O11" s="395"/>
      <c r="P11" s="395"/>
      <c r="Q11" s="395"/>
      <c r="R11" s="395"/>
      <c r="S11" s="395"/>
      <c r="T11" s="395"/>
    </row>
    <row r="12" spans="1:20" s="10" customFormat="1" ht="18.75" customHeight="1" x14ac:dyDescent="0.2">
      <c r="A12" s="396" t="str">
        <f>'2. паспорт  ТП'!A11</f>
        <v>L_16-0257</v>
      </c>
      <c r="B12" s="396"/>
      <c r="C12" s="396"/>
      <c r="D12" s="396"/>
      <c r="E12" s="396"/>
      <c r="F12" s="396"/>
      <c r="G12" s="396"/>
      <c r="H12" s="396"/>
      <c r="I12" s="396"/>
      <c r="J12" s="396"/>
      <c r="K12" s="396"/>
      <c r="L12" s="396"/>
      <c r="M12" s="396"/>
      <c r="N12" s="396"/>
      <c r="O12" s="396"/>
      <c r="P12" s="396"/>
      <c r="Q12" s="396"/>
      <c r="R12" s="396"/>
      <c r="S12" s="396"/>
      <c r="T12" s="396"/>
    </row>
    <row r="13" spans="1:20" s="10" customFormat="1" ht="18.75" customHeight="1" x14ac:dyDescent="0.2">
      <c r="A13" s="392" t="s">
        <v>4</v>
      </c>
      <c r="B13" s="392"/>
      <c r="C13" s="392"/>
      <c r="D13" s="392"/>
      <c r="E13" s="392"/>
      <c r="F13" s="392"/>
      <c r="G13" s="392"/>
      <c r="H13" s="392"/>
      <c r="I13" s="392"/>
      <c r="J13" s="392"/>
      <c r="K13" s="392"/>
      <c r="L13" s="392"/>
      <c r="M13" s="392"/>
      <c r="N13" s="392"/>
      <c r="O13" s="392"/>
      <c r="P13" s="392"/>
      <c r="Q13" s="392"/>
      <c r="R13" s="392"/>
      <c r="S13" s="392"/>
      <c r="T13" s="392"/>
    </row>
    <row r="14" spans="1:20" s="7" customFormat="1" ht="15.75" customHeight="1" x14ac:dyDescent="0.2">
      <c r="A14" s="397"/>
      <c r="B14" s="397"/>
      <c r="C14" s="397"/>
      <c r="D14" s="397"/>
      <c r="E14" s="397"/>
      <c r="F14" s="397"/>
      <c r="G14" s="397"/>
      <c r="H14" s="397"/>
      <c r="I14" s="397"/>
      <c r="J14" s="397"/>
      <c r="K14" s="397"/>
      <c r="L14" s="397"/>
      <c r="M14" s="397"/>
      <c r="N14" s="397"/>
      <c r="O14" s="397"/>
      <c r="P14" s="397"/>
      <c r="Q14" s="397"/>
      <c r="R14" s="397"/>
      <c r="S14" s="397"/>
      <c r="T14" s="397"/>
    </row>
    <row r="15" spans="1:20" s="2" customFormat="1" ht="34.5" customHeight="1" x14ac:dyDescent="0.2">
      <c r="A15" s="391" t="str">
        <f>'2. паспорт  ТП'!A14</f>
        <v>Строительство КЛ 15 кВ взамен существующей ВЛ 15 кВ № 15-21 (инв. № 5114657) протяженностью 1,7 км в Гурьевском районе</v>
      </c>
      <c r="B15" s="391"/>
      <c r="C15" s="391"/>
      <c r="D15" s="391"/>
      <c r="E15" s="391"/>
      <c r="F15" s="391"/>
      <c r="G15" s="391"/>
      <c r="H15" s="391"/>
      <c r="I15" s="391"/>
      <c r="J15" s="391"/>
      <c r="K15" s="391"/>
      <c r="L15" s="391"/>
      <c r="M15" s="391"/>
      <c r="N15" s="391"/>
      <c r="O15" s="391"/>
      <c r="P15" s="391"/>
      <c r="Q15" s="391"/>
      <c r="R15" s="391"/>
      <c r="S15" s="391"/>
      <c r="T15" s="391"/>
    </row>
    <row r="16" spans="1:20" s="2" customFormat="1" ht="15" customHeight="1" x14ac:dyDescent="0.2">
      <c r="A16" s="383" t="s">
        <v>3</v>
      </c>
      <c r="B16" s="383"/>
      <c r="C16" s="383"/>
      <c r="D16" s="383"/>
      <c r="E16" s="383"/>
      <c r="F16" s="383"/>
      <c r="G16" s="383"/>
      <c r="H16" s="383"/>
      <c r="I16" s="383"/>
      <c r="J16" s="383"/>
      <c r="K16" s="383"/>
      <c r="L16" s="383"/>
      <c r="M16" s="383"/>
      <c r="N16" s="383"/>
      <c r="O16" s="383"/>
      <c r="P16" s="383"/>
      <c r="Q16" s="383"/>
      <c r="R16" s="383"/>
      <c r="S16" s="383"/>
      <c r="T16" s="383"/>
    </row>
    <row r="17" spans="1:113" s="2" customFormat="1" ht="15" customHeight="1" x14ac:dyDescent="0.2">
      <c r="A17" s="406"/>
      <c r="B17" s="406"/>
      <c r="C17" s="406"/>
      <c r="D17" s="406"/>
      <c r="E17" s="406"/>
      <c r="F17" s="406"/>
      <c r="G17" s="406"/>
      <c r="H17" s="406"/>
      <c r="I17" s="406"/>
      <c r="J17" s="406"/>
      <c r="K17" s="406"/>
      <c r="L17" s="406"/>
      <c r="M17" s="406"/>
      <c r="N17" s="406"/>
      <c r="O17" s="406"/>
      <c r="P17" s="406"/>
      <c r="Q17" s="406"/>
      <c r="R17" s="406"/>
      <c r="S17" s="406"/>
      <c r="T17" s="406"/>
    </row>
    <row r="18" spans="1:113" s="2" customFormat="1" ht="15" customHeight="1" x14ac:dyDescent="0.2">
      <c r="A18" s="385" t="s">
        <v>361</v>
      </c>
      <c r="B18" s="385"/>
      <c r="C18" s="385"/>
      <c r="D18" s="385"/>
      <c r="E18" s="385"/>
      <c r="F18" s="385"/>
      <c r="G18" s="385"/>
      <c r="H18" s="385"/>
      <c r="I18" s="385"/>
      <c r="J18" s="385"/>
      <c r="K18" s="385"/>
      <c r="L18" s="385"/>
      <c r="M18" s="385"/>
      <c r="N18" s="385"/>
      <c r="O18" s="385"/>
      <c r="P18" s="385"/>
      <c r="Q18" s="385"/>
      <c r="R18" s="385"/>
      <c r="S18" s="385"/>
      <c r="T18" s="385"/>
    </row>
    <row r="19" spans="1:113" s="48" customFormat="1" ht="21" customHeight="1" x14ac:dyDescent="0.25">
      <c r="A19" s="407"/>
      <c r="B19" s="407"/>
      <c r="C19" s="407"/>
      <c r="D19" s="407"/>
      <c r="E19" s="407"/>
      <c r="F19" s="407"/>
      <c r="G19" s="407"/>
      <c r="H19" s="407"/>
      <c r="I19" s="407"/>
      <c r="J19" s="407"/>
      <c r="K19" s="407"/>
      <c r="L19" s="407"/>
      <c r="M19" s="407"/>
      <c r="N19" s="407"/>
      <c r="O19" s="407"/>
      <c r="P19" s="407"/>
      <c r="Q19" s="407"/>
      <c r="R19" s="407"/>
      <c r="S19" s="407"/>
      <c r="T19" s="407"/>
    </row>
    <row r="20" spans="1:113" ht="46.5" customHeight="1" x14ac:dyDescent="0.25">
      <c r="A20" s="408" t="s">
        <v>2</v>
      </c>
      <c r="B20" s="411" t="s">
        <v>194</v>
      </c>
      <c r="C20" s="412"/>
      <c r="D20" s="415" t="s">
        <v>114</v>
      </c>
      <c r="E20" s="411" t="s">
        <v>389</v>
      </c>
      <c r="F20" s="412"/>
      <c r="G20" s="411" t="s">
        <v>213</v>
      </c>
      <c r="H20" s="412"/>
      <c r="I20" s="411" t="s">
        <v>113</v>
      </c>
      <c r="J20" s="412"/>
      <c r="K20" s="415" t="s">
        <v>112</v>
      </c>
      <c r="L20" s="411" t="s">
        <v>111</v>
      </c>
      <c r="M20" s="412"/>
      <c r="N20" s="411" t="s">
        <v>386</v>
      </c>
      <c r="O20" s="412"/>
      <c r="P20" s="415" t="s">
        <v>410</v>
      </c>
      <c r="Q20" s="403" t="s">
        <v>110</v>
      </c>
      <c r="R20" s="404"/>
      <c r="S20" s="403" t="s">
        <v>109</v>
      </c>
      <c r="T20" s="405"/>
    </row>
    <row r="21" spans="1:113" ht="204.75" customHeight="1" x14ac:dyDescent="0.25">
      <c r="A21" s="409"/>
      <c r="B21" s="413"/>
      <c r="C21" s="414"/>
      <c r="D21" s="417"/>
      <c r="E21" s="413"/>
      <c r="F21" s="414"/>
      <c r="G21" s="413"/>
      <c r="H21" s="414"/>
      <c r="I21" s="413"/>
      <c r="J21" s="414"/>
      <c r="K21" s="416"/>
      <c r="L21" s="413"/>
      <c r="M21" s="414"/>
      <c r="N21" s="413"/>
      <c r="O21" s="414"/>
      <c r="P21" s="416"/>
      <c r="Q21" s="66" t="s">
        <v>108</v>
      </c>
      <c r="R21" s="66" t="s">
        <v>360</v>
      </c>
      <c r="S21" s="66" t="s">
        <v>107</v>
      </c>
      <c r="T21" s="66" t="s">
        <v>106</v>
      </c>
    </row>
    <row r="22" spans="1:113" ht="51.75" customHeight="1" x14ac:dyDescent="0.25">
      <c r="A22" s="410"/>
      <c r="B22" s="97" t="s">
        <v>104</v>
      </c>
      <c r="C22" s="97" t="s">
        <v>105</v>
      </c>
      <c r="D22" s="416"/>
      <c r="E22" s="97" t="s">
        <v>104</v>
      </c>
      <c r="F22" s="97" t="s">
        <v>105</v>
      </c>
      <c r="G22" s="97" t="s">
        <v>104</v>
      </c>
      <c r="H22" s="97" t="s">
        <v>105</v>
      </c>
      <c r="I22" s="97" t="s">
        <v>104</v>
      </c>
      <c r="J22" s="97" t="s">
        <v>105</v>
      </c>
      <c r="K22" s="97" t="s">
        <v>104</v>
      </c>
      <c r="L22" s="97" t="s">
        <v>104</v>
      </c>
      <c r="M22" s="97" t="s">
        <v>105</v>
      </c>
      <c r="N22" s="97" t="s">
        <v>104</v>
      </c>
      <c r="O22" s="97" t="s">
        <v>105</v>
      </c>
      <c r="P22" s="98" t="s">
        <v>104</v>
      </c>
      <c r="Q22" s="66" t="s">
        <v>104</v>
      </c>
      <c r="R22" s="66" t="s">
        <v>104</v>
      </c>
      <c r="S22" s="66" t="s">
        <v>104</v>
      </c>
      <c r="T22" s="66" t="s">
        <v>104</v>
      </c>
    </row>
    <row r="23" spans="1:113"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row>
    <row r="24" spans="1:113" s="48" customFormat="1" ht="75" customHeight="1" x14ac:dyDescent="0.25">
      <c r="A24" s="262" t="s">
        <v>274</v>
      </c>
      <c r="B24" s="270" t="s">
        <v>274</v>
      </c>
      <c r="C24" s="270" t="s">
        <v>274</v>
      </c>
      <c r="D24" s="263" t="s">
        <v>274</v>
      </c>
      <c r="E24" s="271" t="s">
        <v>274</v>
      </c>
      <c r="F24" s="264" t="s">
        <v>274</v>
      </c>
      <c r="G24" s="272" t="s">
        <v>274</v>
      </c>
      <c r="H24" s="272" t="s">
        <v>274</v>
      </c>
      <c r="I24" s="262" t="s">
        <v>274</v>
      </c>
      <c r="J24" s="262" t="s">
        <v>274</v>
      </c>
      <c r="K24" s="262" t="s">
        <v>274</v>
      </c>
      <c r="L24" s="262" t="s">
        <v>274</v>
      </c>
      <c r="M24" s="262" t="s">
        <v>274</v>
      </c>
      <c r="N24" s="273" t="s">
        <v>274</v>
      </c>
      <c r="O24" s="273" t="s">
        <v>274</v>
      </c>
      <c r="P24" s="262" t="s">
        <v>274</v>
      </c>
      <c r="Q24" s="265" t="s">
        <v>274</v>
      </c>
      <c r="R24" s="265" t="s">
        <v>274</v>
      </c>
      <c r="S24" s="265" t="s">
        <v>274</v>
      </c>
      <c r="T24" s="265" t="s">
        <v>274</v>
      </c>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02" t="s">
        <v>395</v>
      </c>
      <c r="C28" s="402"/>
      <c r="D28" s="402"/>
      <c r="E28" s="402"/>
      <c r="F28" s="402"/>
      <c r="G28" s="402"/>
      <c r="H28" s="402"/>
      <c r="I28" s="402"/>
      <c r="J28" s="402"/>
      <c r="K28" s="402"/>
      <c r="L28" s="402"/>
      <c r="M28" s="402"/>
      <c r="N28" s="402"/>
      <c r="O28" s="402"/>
      <c r="P28" s="402"/>
      <c r="Q28" s="402"/>
      <c r="R28" s="402"/>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359</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B14" zoomScale="80" zoomScaleSheetLayoutView="80" workbookViewId="0">
      <selection activeCell="P25" sqref="P25"/>
    </sheetView>
  </sheetViews>
  <sheetFormatPr defaultColWidth="10.7109375" defaultRowHeight="15.75" x14ac:dyDescent="0.25"/>
  <cols>
    <col min="1" max="1" width="10.7109375" style="40"/>
    <col min="2" max="5" width="21.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42.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6" t="str">
        <f>'3.1. паспорт Техсостояние ПС'!A5</f>
        <v>Год раскрытия информации: 2023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0" customFormat="1" x14ac:dyDescent="0.2">
      <c r="A6" s="100"/>
      <c r="B6" s="100"/>
      <c r="C6" s="100"/>
      <c r="D6" s="100"/>
      <c r="E6" s="100"/>
      <c r="F6" s="100"/>
      <c r="G6" s="100"/>
      <c r="H6" s="100"/>
      <c r="I6" s="100"/>
      <c r="J6" s="100"/>
      <c r="K6" s="100"/>
      <c r="L6" s="100"/>
      <c r="M6" s="100"/>
      <c r="N6" s="100"/>
      <c r="O6" s="100"/>
      <c r="P6" s="100"/>
      <c r="Q6" s="100"/>
      <c r="R6" s="100"/>
      <c r="S6" s="100"/>
      <c r="T6" s="100"/>
      <c r="U6" s="16"/>
      <c r="V6" s="16"/>
      <c r="W6" s="16"/>
      <c r="X6" s="16"/>
      <c r="Y6" s="16"/>
      <c r="Z6" s="16"/>
      <c r="AA6" s="16"/>
    </row>
    <row r="7" spans="1:27" s="10" customFormat="1" ht="18.75" x14ac:dyDescent="0.2">
      <c r="A7" s="16"/>
      <c r="B7" s="16"/>
      <c r="C7" s="16"/>
      <c r="D7" s="16"/>
      <c r="E7" s="395" t="s">
        <v>6</v>
      </c>
      <c r="F7" s="395"/>
      <c r="G7" s="395"/>
      <c r="H7" s="395"/>
      <c r="I7" s="395"/>
      <c r="J7" s="395"/>
      <c r="K7" s="395"/>
      <c r="L7" s="395"/>
      <c r="M7" s="395"/>
      <c r="N7" s="395"/>
      <c r="O7" s="395"/>
      <c r="P7" s="395"/>
      <c r="Q7" s="395"/>
      <c r="R7" s="395"/>
      <c r="S7" s="395"/>
      <c r="T7" s="395"/>
      <c r="U7" s="395"/>
      <c r="V7" s="395"/>
      <c r="W7" s="395"/>
      <c r="X7" s="395"/>
      <c r="Y7" s="395"/>
      <c r="Z7" s="16"/>
      <c r="AA7" s="16"/>
    </row>
    <row r="8" spans="1:27" s="10" customFormat="1" ht="18.75" x14ac:dyDescent="0.2">
      <c r="A8" s="16"/>
      <c r="B8" s="16"/>
      <c r="C8" s="16"/>
      <c r="D8" s="16"/>
      <c r="E8" s="138"/>
      <c r="F8" s="138"/>
      <c r="G8" s="138"/>
      <c r="H8" s="138"/>
      <c r="I8" s="138"/>
      <c r="J8" s="138"/>
      <c r="K8" s="138"/>
      <c r="L8" s="138"/>
      <c r="M8" s="138"/>
      <c r="N8" s="138"/>
      <c r="O8" s="138"/>
      <c r="P8" s="138"/>
      <c r="Q8" s="138"/>
      <c r="R8" s="138"/>
      <c r="S8" s="139"/>
      <c r="T8" s="139"/>
      <c r="U8" s="139"/>
      <c r="V8" s="139"/>
      <c r="W8" s="139"/>
      <c r="X8" s="16"/>
      <c r="Y8" s="16"/>
      <c r="Z8" s="16"/>
      <c r="AA8" s="16"/>
    </row>
    <row r="9" spans="1:27" s="10" customFormat="1" ht="18.75" customHeight="1" x14ac:dyDescent="0.2">
      <c r="A9" s="16"/>
      <c r="B9" s="16"/>
      <c r="C9" s="16"/>
      <c r="D9" s="16"/>
      <c r="E9" s="396" t="str">
        <f>'3.1. паспорт Техсостояние ПС'!A9</f>
        <v>Акционерное общество "Россети Янтарь"</v>
      </c>
      <c r="F9" s="396"/>
      <c r="G9" s="396"/>
      <c r="H9" s="396"/>
      <c r="I9" s="396"/>
      <c r="J9" s="396"/>
      <c r="K9" s="396"/>
      <c r="L9" s="396"/>
      <c r="M9" s="396"/>
      <c r="N9" s="396"/>
      <c r="O9" s="396"/>
      <c r="P9" s="396"/>
      <c r="Q9" s="396"/>
      <c r="R9" s="396"/>
      <c r="S9" s="396"/>
      <c r="T9" s="396"/>
      <c r="U9" s="396"/>
      <c r="V9" s="396"/>
      <c r="W9" s="396"/>
      <c r="X9" s="396"/>
      <c r="Y9" s="396"/>
      <c r="Z9" s="16"/>
      <c r="AA9" s="16"/>
    </row>
    <row r="10" spans="1:27" s="10" customFormat="1" ht="18.75" customHeight="1" x14ac:dyDescent="0.2">
      <c r="A10" s="16"/>
      <c r="B10" s="16"/>
      <c r="C10" s="16"/>
      <c r="D10" s="16"/>
      <c r="E10" s="392" t="s">
        <v>5</v>
      </c>
      <c r="F10" s="392"/>
      <c r="G10" s="392"/>
      <c r="H10" s="392"/>
      <c r="I10" s="392"/>
      <c r="J10" s="392"/>
      <c r="K10" s="392"/>
      <c r="L10" s="392"/>
      <c r="M10" s="392"/>
      <c r="N10" s="392"/>
      <c r="O10" s="392"/>
      <c r="P10" s="392"/>
      <c r="Q10" s="392"/>
      <c r="R10" s="392"/>
      <c r="S10" s="392"/>
      <c r="T10" s="392"/>
      <c r="U10" s="392"/>
      <c r="V10" s="392"/>
      <c r="W10" s="392"/>
      <c r="X10" s="392"/>
      <c r="Y10" s="392"/>
      <c r="Z10" s="16"/>
      <c r="AA10" s="16"/>
    </row>
    <row r="11" spans="1:27" s="10" customFormat="1" ht="18.75" x14ac:dyDescent="0.2">
      <c r="A11" s="16"/>
      <c r="B11" s="16"/>
      <c r="C11" s="16"/>
      <c r="D11" s="16"/>
      <c r="E11" s="138"/>
      <c r="F11" s="138"/>
      <c r="G11" s="138"/>
      <c r="H11" s="138"/>
      <c r="I11" s="138"/>
      <c r="J11" s="138"/>
      <c r="K11" s="138"/>
      <c r="L11" s="138"/>
      <c r="M11" s="138"/>
      <c r="N11" s="138"/>
      <c r="O11" s="138"/>
      <c r="P11" s="138"/>
      <c r="Q11" s="138"/>
      <c r="R11" s="138"/>
      <c r="S11" s="139"/>
      <c r="T11" s="139"/>
      <c r="U11" s="139"/>
      <c r="V11" s="139"/>
      <c r="W11" s="139"/>
      <c r="X11" s="16"/>
      <c r="Y11" s="16"/>
      <c r="Z11" s="16"/>
      <c r="AA11" s="16"/>
    </row>
    <row r="12" spans="1:27" s="10" customFormat="1" ht="18.75" customHeight="1" x14ac:dyDescent="0.2">
      <c r="A12" s="16"/>
      <c r="B12" s="16"/>
      <c r="C12" s="16"/>
      <c r="D12" s="16"/>
      <c r="E12" s="396" t="str">
        <f>'1. паспорт местоположение'!A12</f>
        <v>L_16-0257</v>
      </c>
      <c r="F12" s="396"/>
      <c r="G12" s="396"/>
      <c r="H12" s="396"/>
      <c r="I12" s="396"/>
      <c r="J12" s="396"/>
      <c r="K12" s="396"/>
      <c r="L12" s="396"/>
      <c r="M12" s="396"/>
      <c r="N12" s="396"/>
      <c r="O12" s="396"/>
      <c r="P12" s="396"/>
      <c r="Q12" s="396"/>
      <c r="R12" s="396"/>
      <c r="S12" s="396"/>
      <c r="T12" s="396"/>
      <c r="U12" s="396"/>
      <c r="V12" s="396"/>
      <c r="W12" s="396"/>
      <c r="X12" s="396"/>
      <c r="Y12" s="396"/>
      <c r="Z12" s="16"/>
      <c r="AA12" s="16"/>
    </row>
    <row r="13" spans="1:27" s="10" customFormat="1" ht="18.75" customHeight="1" x14ac:dyDescent="0.2">
      <c r="A13" s="16"/>
      <c r="B13" s="16"/>
      <c r="C13" s="16"/>
      <c r="D13" s="16"/>
      <c r="E13" s="392" t="s">
        <v>4</v>
      </c>
      <c r="F13" s="392"/>
      <c r="G13" s="392"/>
      <c r="H13" s="392"/>
      <c r="I13" s="392"/>
      <c r="J13" s="392"/>
      <c r="K13" s="392"/>
      <c r="L13" s="392"/>
      <c r="M13" s="392"/>
      <c r="N13" s="392"/>
      <c r="O13" s="392"/>
      <c r="P13" s="392"/>
      <c r="Q13" s="392"/>
      <c r="R13" s="392"/>
      <c r="S13" s="392"/>
      <c r="T13" s="392"/>
      <c r="U13" s="392"/>
      <c r="V13" s="392"/>
      <c r="W13" s="392"/>
      <c r="X13" s="392"/>
      <c r="Y13" s="392"/>
      <c r="Z13" s="16"/>
      <c r="AA13" s="16"/>
    </row>
    <row r="14" spans="1:27" s="7" customFormat="1" ht="15.75" customHeight="1" x14ac:dyDescent="0.2">
      <c r="A14" s="140"/>
      <c r="B14" s="140"/>
      <c r="C14" s="140"/>
      <c r="D14" s="140"/>
      <c r="E14" s="141"/>
      <c r="F14" s="141"/>
      <c r="G14" s="141"/>
      <c r="H14" s="141"/>
      <c r="I14" s="141"/>
      <c r="J14" s="141"/>
      <c r="K14" s="141"/>
      <c r="L14" s="141"/>
      <c r="M14" s="141"/>
      <c r="N14" s="141"/>
      <c r="O14" s="141"/>
      <c r="P14" s="141"/>
      <c r="Q14" s="141"/>
      <c r="R14" s="141"/>
      <c r="S14" s="141"/>
      <c r="T14" s="141"/>
      <c r="U14" s="141"/>
      <c r="V14" s="141"/>
      <c r="W14" s="141"/>
      <c r="X14" s="140"/>
      <c r="Y14" s="140"/>
      <c r="Z14" s="140"/>
      <c r="AA14" s="140"/>
    </row>
    <row r="15" spans="1:27" s="2" customFormat="1" ht="39" customHeight="1" x14ac:dyDescent="0.2">
      <c r="A15" s="142"/>
      <c r="B15" s="142"/>
      <c r="C15" s="142"/>
      <c r="D15" s="142"/>
      <c r="E15" s="391" t="str">
        <f>'3.1. паспорт Техсостояние ПС'!A15</f>
        <v>Строительство КЛ 15 кВ взамен существующей ВЛ 15 кВ № 15-21 (инв. № 5114657) протяженностью 1,7 км в Гурьевском районе</v>
      </c>
      <c r="F15" s="391"/>
      <c r="G15" s="391"/>
      <c r="H15" s="391"/>
      <c r="I15" s="391"/>
      <c r="J15" s="391"/>
      <c r="K15" s="391"/>
      <c r="L15" s="391"/>
      <c r="M15" s="391"/>
      <c r="N15" s="391"/>
      <c r="O15" s="391"/>
      <c r="P15" s="391"/>
      <c r="Q15" s="391"/>
      <c r="R15" s="391"/>
      <c r="S15" s="391"/>
      <c r="T15" s="391"/>
      <c r="U15" s="391"/>
      <c r="V15" s="391"/>
      <c r="W15" s="391"/>
      <c r="X15" s="391"/>
      <c r="Y15" s="391"/>
      <c r="Z15" s="142"/>
      <c r="AA15" s="142"/>
    </row>
    <row r="16" spans="1:27" s="2" customFormat="1" ht="15" customHeight="1" x14ac:dyDescent="0.2">
      <c r="E16" s="383" t="s">
        <v>3</v>
      </c>
      <c r="F16" s="383"/>
      <c r="G16" s="383"/>
      <c r="H16" s="383"/>
      <c r="I16" s="383"/>
      <c r="J16" s="383"/>
      <c r="K16" s="383"/>
      <c r="L16" s="383"/>
      <c r="M16" s="383"/>
      <c r="N16" s="383"/>
      <c r="O16" s="383"/>
      <c r="P16" s="383"/>
      <c r="Q16" s="383"/>
      <c r="R16" s="383"/>
      <c r="S16" s="383"/>
      <c r="T16" s="383"/>
      <c r="U16" s="383"/>
      <c r="V16" s="383"/>
      <c r="W16" s="383"/>
      <c r="X16" s="383"/>
      <c r="Y16" s="38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363</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48" customFormat="1" ht="21" customHeight="1" x14ac:dyDescent="0.25"/>
    <row r="21" spans="1:27" ht="15.75" customHeight="1" x14ac:dyDescent="0.25">
      <c r="A21" s="418" t="s">
        <v>2</v>
      </c>
      <c r="B21" s="420" t="s">
        <v>370</v>
      </c>
      <c r="C21" s="421"/>
      <c r="D21" s="420" t="s">
        <v>372</v>
      </c>
      <c r="E21" s="421"/>
      <c r="F21" s="403" t="s">
        <v>87</v>
      </c>
      <c r="G21" s="405"/>
      <c r="H21" s="405"/>
      <c r="I21" s="404"/>
      <c r="J21" s="418" t="s">
        <v>373</v>
      </c>
      <c r="K21" s="420" t="s">
        <v>374</v>
      </c>
      <c r="L21" s="421"/>
      <c r="M21" s="420" t="s">
        <v>375</v>
      </c>
      <c r="N21" s="421"/>
      <c r="O21" s="420" t="s">
        <v>362</v>
      </c>
      <c r="P21" s="421"/>
      <c r="Q21" s="420" t="s">
        <v>119</v>
      </c>
      <c r="R21" s="421"/>
      <c r="S21" s="418" t="s">
        <v>118</v>
      </c>
      <c r="T21" s="418" t="s">
        <v>376</v>
      </c>
      <c r="U21" s="418" t="s">
        <v>371</v>
      </c>
      <c r="V21" s="420" t="s">
        <v>117</v>
      </c>
      <c r="W21" s="421"/>
      <c r="X21" s="403" t="s">
        <v>110</v>
      </c>
      <c r="Y21" s="405"/>
      <c r="Z21" s="403" t="s">
        <v>109</v>
      </c>
      <c r="AA21" s="405"/>
    </row>
    <row r="22" spans="1:27" ht="216" customHeight="1" x14ac:dyDescent="0.25">
      <c r="A22" s="424"/>
      <c r="B22" s="422"/>
      <c r="C22" s="423"/>
      <c r="D22" s="422"/>
      <c r="E22" s="423"/>
      <c r="F22" s="403" t="s">
        <v>116</v>
      </c>
      <c r="G22" s="404"/>
      <c r="H22" s="403" t="s">
        <v>115</v>
      </c>
      <c r="I22" s="404"/>
      <c r="J22" s="419"/>
      <c r="K22" s="422"/>
      <c r="L22" s="423"/>
      <c r="M22" s="422"/>
      <c r="N22" s="423"/>
      <c r="O22" s="422"/>
      <c r="P22" s="423"/>
      <c r="Q22" s="422"/>
      <c r="R22" s="423"/>
      <c r="S22" s="419"/>
      <c r="T22" s="419"/>
      <c r="U22" s="419"/>
      <c r="V22" s="422"/>
      <c r="W22" s="423"/>
      <c r="X22" s="66" t="s">
        <v>108</v>
      </c>
      <c r="Y22" s="66" t="s">
        <v>360</v>
      </c>
      <c r="Z22" s="66" t="s">
        <v>107</v>
      </c>
      <c r="AA22" s="66" t="s">
        <v>106</v>
      </c>
    </row>
    <row r="23" spans="1:27" ht="60" customHeight="1" x14ac:dyDescent="0.25">
      <c r="A23" s="419"/>
      <c r="B23" s="96" t="s">
        <v>104</v>
      </c>
      <c r="C23" s="96"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6" customFormat="1" ht="160.5" customHeight="1" x14ac:dyDescent="0.25">
      <c r="A25" s="287">
        <v>1</v>
      </c>
      <c r="B25" s="287" t="s">
        <v>530</v>
      </c>
      <c r="C25" s="287" t="s">
        <v>531</v>
      </c>
      <c r="D25" s="287" t="s">
        <v>532</v>
      </c>
      <c r="E25" s="287" t="s">
        <v>533</v>
      </c>
      <c r="F25" s="287">
        <v>15</v>
      </c>
      <c r="G25" s="287">
        <v>15</v>
      </c>
      <c r="H25" s="287">
        <v>15</v>
      </c>
      <c r="I25" s="287">
        <v>15</v>
      </c>
      <c r="J25" s="287">
        <v>1959</v>
      </c>
      <c r="K25" s="287">
        <v>1</v>
      </c>
      <c r="L25" s="287">
        <v>1</v>
      </c>
      <c r="M25" s="287" t="s">
        <v>534</v>
      </c>
      <c r="N25" s="287">
        <v>120</v>
      </c>
      <c r="O25" s="287" t="s">
        <v>510</v>
      </c>
      <c r="P25" s="287" t="s">
        <v>526</v>
      </c>
      <c r="Q25" s="287">
        <v>1.7</v>
      </c>
      <c r="R25" s="285">
        <v>1.7</v>
      </c>
      <c r="S25" s="287"/>
      <c r="T25" s="287">
        <v>2015</v>
      </c>
      <c r="U25" s="287">
        <v>6</v>
      </c>
      <c r="V25" s="287" t="s">
        <v>521</v>
      </c>
      <c r="W25" s="287"/>
      <c r="X25" s="287" t="s">
        <v>527</v>
      </c>
      <c r="Y25" s="312"/>
      <c r="Z25" s="287" t="s">
        <v>528</v>
      </c>
      <c r="AA25" s="312" t="s">
        <v>529</v>
      </c>
    </row>
    <row r="26" spans="1:27" s="46" customFormat="1" ht="12.75" x14ac:dyDescent="0.2">
      <c r="A26" s="47"/>
      <c r="B26" s="47"/>
      <c r="C26" s="47"/>
      <c r="E26" s="47"/>
      <c r="X26" s="68"/>
      <c r="Y26" s="68"/>
      <c r="Z26" s="68"/>
      <c r="AA26" s="68"/>
    </row>
    <row r="27" spans="1:27" s="46" customFormat="1" ht="12.75" x14ac:dyDescent="0.2">
      <c r="A27" s="47"/>
      <c r="B27" s="47"/>
      <c r="C27"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90" zoomScaleSheetLayoutView="90" workbookViewId="0">
      <selection activeCell="C27" sqref="C27"/>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86" t="str">
        <f>'3.2 паспорт Техсостояние ЛЭП'!A5</f>
        <v>Год раскрытия информации: 2023 год</v>
      </c>
      <c r="B5" s="386"/>
      <c r="C5" s="386"/>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row>
    <row r="6" spans="1:29" s="10" customFormat="1" ht="18.75" x14ac:dyDescent="0.3">
      <c r="A6" s="136"/>
      <c r="B6" s="16"/>
      <c r="C6" s="16"/>
      <c r="E6" s="14"/>
      <c r="F6" s="14"/>
      <c r="G6" s="13"/>
    </row>
    <row r="7" spans="1:29" s="10" customFormat="1" ht="18.75" x14ac:dyDescent="0.2">
      <c r="A7" s="395" t="s">
        <v>6</v>
      </c>
      <c r="B7" s="395"/>
      <c r="C7" s="395"/>
      <c r="D7" s="11"/>
      <c r="E7" s="11"/>
      <c r="F7" s="11"/>
      <c r="G7" s="11"/>
      <c r="H7" s="11"/>
      <c r="I7" s="11"/>
      <c r="J7" s="11"/>
      <c r="K7" s="11"/>
      <c r="L7" s="11"/>
      <c r="M7" s="11"/>
      <c r="N7" s="11"/>
      <c r="O7" s="11"/>
      <c r="P7" s="11"/>
      <c r="Q7" s="11"/>
      <c r="R7" s="11"/>
      <c r="S7" s="11"/>
      <c r="T7" s="11"/>
      <c r="U7" s="11"/>
    </row>
    <row r="8" spans="1:29" s="10" customFormat="1" ht="18.75" x14ac:dyDescent="0.2">
      <c r="A8" s="395"/>
      <c r="B8" s="395"/>
      <c r="C8" s="395"/>
      <c r="D8" s="12"/>
      <c r="E8" s="12"/>
      <c r="F8" s="12"/>
      <c r="G8" s="12"/>
      <c r="H8" s="11"/>
      <c r="I8" s="11"/>
      <c r="J8" s="11"/>
      <c r="K8" s="11"/>
      <c r="L8" s="11"/>
      <c r="M8" s="11"/>
      <c r="N8" s="11"/>
      <c r="O8" s="11"/>
      <c r="P8" s="11"/>
      <c r="Q8" s="11"/>
      <c r="R8" s="11"/>
      <c r="S8" s="11"/>
      <c r="T8" s="11"/>
      <c r="U8" s="11"/>
    </row>
    <row r="9" spans="1:29" s="10" customFormat="1" ht="18.75" x14ac:dyDescent="0.2">
      <c r="A9" s="396" t="str">
        <f>'3.2 паспорт Техсостояние ЛЭП'!E9</f>
        <v>Акционерное общество "Россети Янтарь"</v>
      </c>
      <c r="B9" s="396"/>
      <c r="C9" s="396"/>
      <c r="D9" s="6"/>
      <c r="E9" s="6"/>
      <c r="F9" s="6"/>
      <c r="G9" s="6"/>
      <c r="H9" s="11"/>
      <c r="I9" s="11"/>
      <c r="J9" s="11"/>
      <c r="K9" s="11"/>
      <c r="L9" s="11"/>
      <c r="M9" s="11"/>
      <c r="N9" s="11"/>
      <c r="O9" s="11"/>
      <c r="P9" s="11"/>
      <c r="Q9" s="11"/>
      <c r="R9" s="11"/>
      <c r="S9" s="11"/>
      <c r="T9" s="11"/>
      <c r="U9" s="11"/>
    </row>
    <row r="10" spans="1:29" s="10" customFormat="1" ht="18.75" x14ac:dyDescent="0.2">
      <c r="A10" s="392" t="s">
        <v>5</v>
      </c>
      <c r="B10" s="392"/>
      <c r="C10" s="392"/>
      <c r="D10" s="4"/>
      <c r="E10" s="4"/>
      <c r="F10" s="4"/>
      <c r="G10" s="4"/>
      <c r="H10" s="11"/>
      <c r="I10" s="11"/>
      <c r="J10" s="11"/>
      <c r="K10" s="11"/>
      <c r="L10" s="11"/>
      <c r="M10" s="11"/>
      <c r="N10" s="11"/>
      <c r="O10" s="11"/>
      <c r="P10" s="11"/>
      <c r="Q10" s="11"/>
      <c r="R10" s="11"/>
      <c r="S10" s="11"/>
      <c r="T10" s="11"/>
      <c r="U10" s="11"/>
    </row>
    <row r="11" spans="1:29" s="10" customFormat="1" ht="18.75" x14ac:dyDescent="0.2">
      <c r="A11" s="395"/>
      <c r="B11" s="395"/>
      <c r="C11" s="395"/>
      <c r="D11" s="12"/>
      <c r="E11" s="12"/>
      <c r="F11" s="12"/>
      <c r="G11" s="12"/>
      <c r="H11" s="11"/>
      <c r="I11" s="11"/>
      <c r="J11" s="11"/>
      <c r="K11" s="11"/>
      <c r="L11" s="11"/>
      <c r="M11" s="11"/>
      <c r="N11" s="11"/>
      <c r="O11" s="11"/>
      <c r="P11" s="11"/>
      <c r="Q11" s="11"/>
      <c r="R11" s="11"/>
      <c r="S11" s="11"/>
      <c r="T11" s="11"/>
      <c r="U11" s="11"/>
    </row>
    <row r="12" spans="1:29" s="10" customFormat="1" ht="18.75" x14ac:dyDescent="0.2">
      <c r="A12" s="396" t="str">
        <f>'3.2 паспорт Техсостояние ЛЭП'!E12</f>
        <v>L_16-0257</v>
      </c>
      <c r="B12" s="396"/>
      <c r="C12" s="396"/>
      <c r="D12" s="6"/>
      <c r="E12" s="6"/>
      <c r="F12" s="6"/>
      <c r="G12" s="6"/>
      <c r="H12" s="11"/>
      <c r="I12" s="11"/>
      <c r="J12" s="11"/>
      <c r="K12" s="11"/>
      <c r="L12" s="11"/>
      <c r="M12" s="11"/>
      <c r="N12" s="11"/>
      <c r="O12" s="11"/>
      <c r="P12" s="11"/>
      <c r="Q12" s="11"/>
      <c r="R12" s="11"/>
      <c r="S12" s="11"/>
      <c r="T12" s="11"/>
      <c r="U12" s="11"/>
    </row>
    <row r="13" spans="1:29" s="10" customFormat="1" ht="18.75" x14ac:dyDescent="0.2">
      <c r="A13" s="392" t="s">
        <v>4</v>
      </c>
      <c r="B13" s="392"/>
      <c r="C13" s="392"/>
      <c r="D13" s="4"/>
      <c r="E13" s="4"/>
      <c r="F13" s="4"/>
      <c r="G13" s="4"/>
      <c r="H13" s="11"/>
      <c r="I13" s="11"/>
      <c r="J13" s="11"/>
      <c r="K13" s="11"/>
      <c r="L13" s="11"/>
      <c r="M13" s="11"/>
      <c r="N13" s="11"/>
      <c r="O13" s="11"/>
      <c r="P13" s="11"/>
      <c r="Q13" s="11"/>
      <c r="R13" s="11"/>
      <c r="S13" s="11"/>
      <c r="T13" s="11"/>
      <c r="U13" s="11"/>
    </row>
    <row r="14" spans="1:29" s="7" customFormat="1" ht="8.25" customHeight="1" x14ac:dyDescent="0.2">
      <c r="A14" s="397"/>
      <c r="B14" s="397"/>
      <c r="C14" s="397"/>
      <c r="D14" s="8"/>
      <c r="E14" s="8"/>
      <c r="F14" s="8"/>
      <c r="G14" s="8"/>
      <c r="H14" s="8"/>
      <c r="I14" s="8"/>
      <c r="J14" s="8"/>
      <c r="K14" s="8"/>
      <c r="L14" s="8"/>
      <c r="M14" s="8"/>
      <c r="N14" s="8"/>
      <c r="O14" s="8"/>
      <c r="P14" s="8"/>
      <c r="Q14" s="8"/>
      <c r="R14" s="8"/>
      <c r="S14" s="8"/>
      <c r="T14" s="8"/>
      <c r="U14" s="8"/>
    </row>
    <row r="15" spans="1:29" s="2" customFormat="1" ht="65.25" customHeight="1" x14ac:dyDescent="0.2">
      <c r="A15" s="391" t="str">
        <f>'3.2 паспорт Техсостояние ЛЭП'!E15</f>
        <v>Строительство КЛ 15 кВ взамен существующей ВЛ 15 кВ № 15-21 (инв. № 5114657) протяженностью 1,7 км в Гурьевском районе</v>
      </c>
      <c r="B15" s="391"/>
      <c r="C15" s="391"/>
      <c r="D15" s="6"/>
      <c r="E15" s="6"/>
      <c r="F15" s="6"/>
      <c r="G15" s="6"/>
      <c r="H15" s="6"/>
      <c r="I15" s="6"/>
      <c r="J15" s="6"/>
      <c r="K15" s="6"/>
      <c r="L15" s="6"/>
      <c r="M15" s="6"/>
      <c r="N15" s="6"/>
      <c r="O15" s="6"/>
      <c r="P15" s="6"/>
      <c r="Q15" s="6"/>
      <c r="R15" s="6"/>
      <c r="S15" s="6"/>
      <c r="T15" s="6"/>
      <c r="U15" s="6"/>
    </row>
    <row r="16" spans="1:29" s="2" customFormat="1" ht="15" customHeight="1" x14ac:dyDescent="0.2">
      <c r="A16" s="383" t="s">
        <v>3</v>
      </c>
      <c r="B16" s="383"/>
      <c r="C16" s="383"/>
      <c r="D16" s="4"/>
      <c r="E16" s="4"/>
      <c r="F16" s="4"/>
      <c r="G16" s="4"/>
      <c r="H16" s="4"/>
      <c r="I16" s="4"/>
      <c r="J16" s="4"/>
      <c r="K16" s="4"/>
      <c r="L16" s="4"/>
      <c r="M16" s="4"/>
      <c r="N16" s="4"/>
      <c r="O16" s="4"/>
      <c r="P16" s="4"/>
      <c r="Q16" s="4"/>
      <c r="R16" s="4"/>
      <c r="S16" s="4"/>
      <c r="T16" s="4"/>
      <c r="U16" s="4"/>
    </row>
    <row r="17" spans="1:21" s="2" customFormat="1" ht="15" customHeight="1" x14ac:dyDescent="0.2">
      <c r="A17" s="406"/>
      <c r="B17" s="406"/>
      <c r="C17" s="406"/>
      <c r="D17" s="3"/>
      <c r="E17" s="3"/>
      <c r="F17" s="3"/>
      <c r="G17" s="3"/>
      <c r="H17" s="3"/>
      <c r="I17" s="3"/>
      <c r="J17" s="3"/>
      <c r="K17" s="3"/>
      <c r="L17" s="3"/>
      <c r="M17" s="3"/>
      <c r="N17" s="3"/>
      <c r="O17" s="3"/>
      <c r="P17" s="3"/>
      <c r="Q17" s="3"/>
      <c r="R17" s="3"/>
    </row>
    <row r="18" spans="1:21" s="2" customFormat="1" ht="27.75" customHeight="1" x14ac:dyDescent="0.2">
      <c r="A18" s="384" t="s">
        <v>355</v>
      </c>
      <c r="B18" s="384"/>
      <c r="C18" s="38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4" t="s">
        <v>63</v>
      </c>
      <c r="C20" s="33"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3">
        <v>1</v>
      </c>
      <c r="B21" s="34">
        <v>2</v>
      </c>
      <c r="C21" s="311">
        <v>3</v>
      </c>
      <c r="D21" s="27"/>
      <c r="E21" s="27"/>
      <c r="F21" s="27"/>
      <c r="G21" s="27"/>
      <c r="H21" s="26"/>
      <c r="I21" s="26"/>
      <c r="J21" s="26"/>
      <c r="K21" s="26"/>
      <c r="L21" s="26"/>
      <c r="M21" s="26"/>
      <c r="N21" s="26"/>
      <c r="O21" s="26"/>
      <c r="P21" s="26"/>
      <c r="Q21" s="26"/>
      <c r="R21" s="26"/>
      <c r="S21" s="25"/>
      <c r="T21" s="25"/>
      <c r="U21" s="25"/>
    </row>
    <row r="22" spans="1:21" s="2" customFormat="1" ht="47.25" x14ac:dyDescent="0.2">
      <c r="A22" s="22" t="s">
        <v>61</v>
      </c>
      <c r="B22" s="28" t="s">
        <v>368</v>
      </c>
      <c r="C22" s="283" t="s">
        <v>535</v>
      </c>
      <c r="D22" s="27"/>
      <c r="E22" s="27"/>
      <c r="F22" s="26"/>
      <c r="G22" s="26"/>
      <c r="H22" s="26"/>
      <c r="I22" s="26"/>
      <c r="J22" s="26"/>
      <c r="K22" s="26"/>
      <c r="L22" s="26"/>
      <c r="M22" s="26"/>
      <c r="N22" s="26"/>
      <c r="O22" s="26"/>
      <c r="P22" s="26"/>
      <c r="Q22" s="25"/>
      <c r="R22" s="25"/>
      <c r="S22" s="25"/>
      <c r="T22" s="25"/>
      <c r="U22" s="25"/>
    </row>
    <row r="23" spans="1:21" ht="63" x14ac:dyDescent="0.25">
      <c r="A23" s="22" t="s">
        <v>60</v>
      </c>
      <c r="B23" s="24" t="s">
        <v>57</v>
      </c>
      <c r="C23" s="332" t="s">
        <v>539</v>
      </c>
      <c r="D23" s="21"/>
      <c r="E23" s="284"/>
      <c r="F23" s="21"/>
      <c r="G23" s="21"/>
      <c r="H23" s="21"/>
      <c r="I23" s="21"/>
      <c r="J23" s="21"/>
      <c r="K23" s="21"/>
      <c r="L23" s="21"/>
      <c r="M23" s="21"/>
      <c r="N23" s="21"/>
      <c r="O23" s="21"/>
      <c r="P23" s="21"/>
      <c r="Q23" s="21"/>
      <c r="R23" s="21"/>
      <c r="S23" s="21"/>
      <c r="T23" s="21"/>
      <c r="U23" s="21"/>
    </row>
    <row r="24" spans="1:21" ht="78.75" x14ac:dyDescent="0.25">
      <c r="A24" s="22" t="s">
        <v>59</v>
      </c>
      <c r="B24" s="24" t="s">
        <v>409</v>
      </c>
      <c r="C24" s="313" t="s">
        <v>552</v>
      </c>
      <c r="D24" s="21"/>
      <c r="E24" s="21"/>
      <c r="F24" s="21"/>
      <c r="G24" s="21"/>
      <c r="H24" s="21"/>
      <c r="I24" s="21"/>
      <c r="J24" s="21"/>
      <c r="K24" s="21"/>
      <c r="L24" s="21"/>
      <c r="M24" s="21"/>
      <c r="N24" s="21"/>
      <c r="O24" s="21"/>
      <c r="P24" s="21"/>
      <c r="Q24" s="21"/>
      <c r="R24" s="21"/>
      <c r="S24" s="21"/>
      <c r="T24" s="21"/>
      <c r="U24" s="21"/>
    </row>
    <row r="25" spans="1:21" ht="31.5" x14ac:dyDescent="0.25">
      <c r="A25" s="22" t="s">
        <v>58</v>
      </c>
      <c r="B25" s="24" t="s">
        <v>388</v>
      </c>
      <c r="C25" s="332" t="s">
        <v>540</v>
      </c>
      <c r="D25" s="21"/>
      <c r="E25" s="21"/>
      <c r="F25" s="21"/>
      <c r="G25" s="21"/>
      <c r="H25" s="21"/>
      <c r="I25" s="21"/>
      <c r="J25" s="21"/>
      <c r="K25" s="21"/>
      <c r="L25" s="21"/>
      <c r="M25" s="21"/>
      <c r="N25" s="21"/>
      <c r="O25" s="21"/>
      <c r="P25" s="21"/>
      <c r="Q25" s="21"/>
      <c r="R25" s="21"/>
      <c r="S25" s="21"/>
      <c r="T25" s="21"/>
      <c r="U25" s="21"/>
    </row>
    <row r="26" spans="1:21" ht="31.5" x14ac:dyDescent="0.25">
      <c r="A26" s="22" t="s">
        <v>56</v>
      </c>
      <c r="B26" s="24" t="s">
        <v>202</v>
      </c>
      <c r="C26" s="313" t="s">
        <v>412</v>
      </c>
      <c r="D26" s="21"/>
      <c r="E26" s="21"/>
      <c r="F26" s="21"/>
      <c r="G26" s="21"/>
      <c r="H26" s="21"/>
      <c r="I26" s="21"/>
      <c r="J26" s="21"/>
      <c r="K26" s="21"/>
      <c r="L26" s="21"/>
      <c r="M26" s="21"/>
      <c r="N26" s="21"/>
      <c r="O26" s="21"/>
      <c r="P26" s="21"/>
      <c r="Q26" s="21"/>
      <c r="R26" s="21"/>
      <c r="S26" s="21"/>
      <c r="T26" s="21"/>
      <c r="U26" s="21"/>
    </row>
    <row r="27" spans="1:21" ht="126" x14ac:dyDescent="0.25">
      <c r="A27" s="22" t="s">
        <v>55</v>
      </c>
      <c r="B27" s="24" t="s">
        <v>369</v>
      </c>
      <c r="C27" s="313" t="s">
        <v>554</v>
      </c>
      <c r="D27" s="21"/>
      <c r="E27" s="21"/>
      <c r="F27" s="21"/>
      <c r="G27" s="21"/>
      <c r="H27" s="21"/>
      <c r="I27" s="21"/>
      <c r="J27" s="21"/>
      <c r="K27" s="21"/>
      <c r="L27" s="21"/>
      <c r="M27" s="21"/>
      <c r="N27" s="21"/>
      <c r="O27" s="21"/>
      <c r="P27" s="21"/>
      <c r="Q27" s="21"/>
      <c r="R27" s="21"/>
      <c r="S27" s="21"/>
      <c r="T27" s="21"/>
      <c r="U27" s="21"/>
    </row>
    <row r="28" spans="1:21" ht="15.75" x14ac:dyDescent="0.25">
      <c r="A28" s="22" t="s">
        <v>53</v>
      </c>
      <c r="B28" s="24" t="s">
        <v>54</v>
      </c>
      <c r="C28" s="313">
        <v>2023</v>
      </c>
      <c r="D28" s="21"/>
      <c r="E28" s="21"/>
      <c r="F28" s="21"/>
      <c r="G28" s="21"/>
      <c r="H28" s="21"/>
      <c r="I28" s="21"/>
      <c r="J28" s="21"/>
      <c r="K28" s="21"/>
      <c r="L28" s="21"/>
      <c r="M28" s="21"/>
      <c r="N28" s="21"/>
      <c r="O28" s="21"/>
      <c r="P28" s="21"/>
      <c r="Q28" s="21"/>
      <c r="R28" s="21"/>
      <c r="S28" s="21"/>
      <c r="T28" s="21"/>
      <c r="U28" s="21"/>
    </row>
    <row r="29" spans="1:21" ht="31.5" x14ac:dyDescent="0.25">
      <c r="A29" s="22" t="s">
        <v>51</v>
      </c>
      <c r="B29" s="23" t="s">
        <v>52</v>
      </c>
      <c r="C29" s="313">
        <v>2023</v>
      </c>
      <c r="D29" s="21"/>
      <c r="E29" s="21"/>
      <c r="F29" s="21"/>
      <c r="G29" s="21"/>
      <c r="H29" s="21"/>
      <c r="I29" s="21"/>
      <c r="J29" s="21"/>
      <c r="K29" s="21"/>
      <c r="L29" s="21"/>
      <c r="M29" s="21"/>
      <c r="N29" s="21"/>
      <c r="O29" s="21"/>
      <c r="P29" s="21"/>
      <c r="Q29" s="21"/>
      <c r="R29" s="21"/>
      <c r="S29" s="21"/>
      <c r="T29" s="21"/>
      <c r="U29" s="21"/>
    </row>
    <row r="30" spans="1:21" ht="31.5" x14ac:dyDescent="0.25">
      <c r="A30" s="22" t="s">
        <v>69</v>
      </c>
      <c r="B30" s="23" t="s">
        <v>50</v>
      </c>
      <c r="C30" s="313" t="s">
        <v>416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24"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5.140625" customWidth="1"/>
    <col min="19" max="19" width="17" customWidth="1"/>
    <col min="20" max="20" width="13.5703125" customWidth="1"/>
    <col min="21" max="21" width="12" customWidth="1"/>
    <col min="22" max="22" width="12.85546875" customWidth="1"/>
    <col min="23" max="25" width="17.7109375" customWidth="1"/>
    <col min="26" max="26" width="46.5703125" customWidth="1"/>
    <col min="27" max="28" width="12.28515625" customWidth="1"/>
  </cols>
  <sheetData>
    <row r="1" spans="1:28" ht="18.75" x14ac:dyDescent="0.25">
      <c r="Z1" s="35" t="s">
        <v>65</v>
      </c>
    </row>
    <row r="2" spans="1:28" ht="18.75" x14ac:dyDescent="0.3">
      <c r="Z2" s="13" t="s">
        <v>7</v>
      </c>
    </row>
    <row r="3" spans="1:28" ht="18.75" x14ac:dyDescent="0.3">
      <c r="Z3" s="13" t="s">
        <v>64</v>
      </c>
    </row>
    <row r="4" spans="1:28" ht="18.75" customHeight="1" x14ac:dyDescent="0.25">
      <c r="A4" s="386" t="str">
        <f>'3.3 паспорт описание'!A5</f>
        <v>Год раскрытия информации: 2023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5" spans="1:28" x14ac:dyDescent="0.25">
      <c r="A5" s="143"/>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8" ht="18.75" x14ac:dyDescent="0.25">
      <c r="A6" s="395" t="s">
        <v>6</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93"/>
      <c r="AB6" s="93"/>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93"/>
      <c r="AB7" s="93"/>
    </row>
    <row r="8" spans="1:28" ht="15.75" x14ac:dyDescent="0.25">
      <c r="A8" s="396" t="str">
        <f>'3.3 паспорт описание'!A9:C9</f>
        <v>Акционерное общество "Россети Янтарь"</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94"/>
      <c r="AB8" s="94"/>
    </row>
    <row r="9" spans="1:28" ht="15.75" x14ac:dyDescent="0.25">
      <c r="A9" s="392" t="s">
        <v>5</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95"/>
      <c r="AB9" s="95"/>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93"/>
      <c r="AB10" s="93"/>
    </row>
    <row r="11" spans="1:28" ht="15.75" x14ac:dyDescent="0.25">
      <c r="A11" s="396" t="str">
        <f>'3.3 паспорт описание'!A12:C12</f>
        <v>L_16-0257</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94"/>
      <c r="AB11" s="94"/>
    </row>
    <row r="12" spans="1:28" ht="15.75" x14ac:dyDescent="0.25">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95"/>
      <c r="AB12" s="95"/>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9"/>
      <c r="AB13" s="9"/>
    </row>
    <row r="14" spans="1:28" ht="24.75" customHeight="1" x14ac:dyDescent="0.25">
      <c r="A14" s="391" t="str">
        <f>'3.3 паспорт описание'!A15:C15</f>
        <v>Строительство КЛ 15 кВ взамен существующей ВЛ 15 кВ № 15-21 (инв. № 5114657) протяженностью 1,7 км в Гурьевском районе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94"/>
      <c r="AB14" s="94"/>
    </row>
    <row r="15" spans="1:28" ht="15.75" x14ac:dyDescent="0.25">
      <c r="A15" s="383" t="s">
        <v>3</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95"/>
      <c r="AB15" s="95"/>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02"/>
      <c r="AB16" s="102"/>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02"/>
      <c r="AB17" s="102"/>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02"/>
      <c r="AB18" s="102"/>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02"/>
      <c r="AB19" s="102"/>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03"/>
      <c r="AB20" s="103"/>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03"/>
      <c r="AB21" s="103"/>
    </row>
    <row r="22" spans="1:28" x14ac:dyDescent="0.25">
      <c r="A22" s="427" t="s">
        <v>387</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04"/>
      <c r="AB22" s="104"/>
    </row>
    <row r="23" spans="1:28" ht="32.25" customHeight="1" x14ac:dyDescent="0.25">
      <c r="A23" s="429" t="s">
        <v>272</v>
      </c>
      <c r="B23" s="430"/>
      <c r="C23" s="430"/>
      <c r="D23" s="430"/>
      <c r="E23" s="430"/>
      <c r="F23" s="430"/>
      <c r="G23" s="430"/>
      <c r="H23" s="430"/>
      <c r="I23" s="430"/>
      <c r="J23" s="430"/>
      <c r="K23" s="430"/>
      <c r="L23" s="431"/>
      <c r="M23" s="428" t="s">
        <v>273</v>
      </c>
      <c r="N23" s="428"/>
      <c r="O23" s="428"/>
      <c r="P23" s="428"/>
      <c r="Q23" s="428"/>
      <c r="R23" s="428"/>
      <c r="S23" s="428"/>
      <c r="T23" s="428"/>
      <c r="U23" s="428"/>
      <c r="V23" s="428"/>
      <c r="W23" s="428"/>
      <c r="X23" s="428"/>
      <c r="Y23" s="428"/>
      <c r="Z23" s="428"/>
    </row>
    <row r="24" spans="1:28" ht="151.5" customHeight="1" x14ac:dyDescent="0.25">
      <c r="A24" s="63" t="s">
        <v>204</v>
      </c>
      <c r="B24" s="64" t="s">
        <v>211</v>
      </c>
      <c r="C24" s="63" t="s">
        <v>267</v>
      </c>
      <c r="D24" s="63" t="s">
        <v>205</v>
      </c>
      <c r="E24" s="63" t="s">
        <v>268</v>
      </c>
      <c r="F24" s="63" t="s">
        <v>270</v>
      </c>
      <c r="G24" s="63" t="s">
        <v>269</v>
      </c>
      <c r="H24" s="63" t="s">
        <v>206</v>
      </c>
      <c r="I24" s="63" t="s">
        <v>271</v>
      </c>
      <c r="J24" s="63" t="s">
        <v>212</v>
      </c>
      <c r="K24" s="64" t="s">
        <v>210</v>
      </c>
      <c r="L24" s="64" t="s">
        <v>207</v>
      </c>
      <c r="M24" s="65" t="s">
        <v>219</v>
      </c>
      <c r="N24" s="64" t="s">
        <v>396</v>
      </c>
      <c r="O24" s="63" t="s">
        <v>217</v>
      </c>
      <c r="P24" s="63" t="s">
        <v>218</v>
      </c>
      <c r="Q24" s="63" t="s">
        <v>216</v>
      </c>
      <c r="R24" s="63" t="s">
        <v>206</v>
      </c>
      <c r="S24" s="63" t="s">
        <v>215</v>
      </c>
      <c r="T24" s="63" t="s">
        <v>214</v>
      </c>
      <c r="U24" s="63" t="s">
        <v>266</v>
      </c>
      <c r="V24" s="63" t="s">
        <v>216</v>
      </c>
      <c r="W24" s="70" t="s">
        <v>209</v>
      </c>
      <c r="X24" s="70" t="s">
        <v>221</v>
      </c>
      <c r="Y24" s="70" t="s">
        <v>222</v>
      </c>
      <c r="Z24" s="71" t="s">
        <v>220</v>
      </c>
    </row>
    <row r="25" spans="1:28" ht="16.5" customHeight="1" x14ac:dyDescent="0.25">
      <c r="A25" s="63">
        <v>1</v>
      </c>
      <c r="B25" s="64">
        <v>2</v>
      </c>
      <c r="C25" s="63">
        <v>3</v>
      </c>
      <c r="D25" s="64">
        <v>4</v>
      </c>
      <c r="E25" s="63">
        <v>5</v>
      </c>
      <c r="F25" s="64">
        <v>6</v>
      </c>
      <c r="G25" s="63">
        <v>7</v>
      </c>
      <c r="H25" s="64">
        <v>8</v>
      </c>
      <c r="I25" s="63">
        <v>9</v>
      </c>
      <c r="J25" s="64">
        <v>10</v>
      </c>
      <c r="K25" s="105">
        <v>11</v>
      </c>
      <c r="L25" s="64">
        <v>12</v>
      </c>
      <c r="M25" s="105">
        <v>13</v>
      </c>
      <c r="N25" s="64">
        <v>14</v>
      </c>
      <c r="O25" s="105">
        <v>15</v>
      </c>
      <c r="P25" s="64">
        <v>16</v>
      </c>
      <c r="Q25" s="105">
        <v>17</v>
      </c>
      <c r="R25" s="64">
        <v>18</v>
      </c>
      <c r="S25" s="105">
        <v>19</v>
      </c>
      <c r="T25" s="64">
        <v>20</v>
      </c>
      <c r="U25" s="105">
        <v>21</v>
      </c>
      <c r="V25" s="64">
        <v>22</v>
      </c>
      <c r="W25" s="105">
        <v>23</v>
      </c>
      <c r="X25" s="64">
        <v>24</v>
      </c>
      <c r="Y25" s="105">
        <v>25</v>
      </c>
      <c r="Z25" s="64">
        <v>26</v>
      </c>
    </row>
    <row r="26" spans="1:28" ht="135" x14ac:dyDescent="0.25">
      <c r="A26" s="292">
        <v>2018</v>
      </c>
      <c r="B26" s="293"/>
      <c r="C26" s="293">
        <f>SUM(C27:C28)</f>
        <v>13.9833</v>
      </c>
      <c r="D26" s="294">
        <f>SUM(D27:D28)</f>
        <v>155</v>
      </c>
      <c r="E26" s="293">
        <f>SUM(E28:E48)</f>
        <v>0</v>
      </c>
      <c r="F26" s="293">
        <f>SUM(F27:F28)</f>
        <v>948.32999999999993</v>
      </c>
      <c r="G26" s="293">
        <f>SUM(G28:G48)</f>
        <v>0</v>
      </c>
      <c r="H26" s="294">
        <v>116189</v>
      </c>
      <c r="I26" s="295">
        <f>F26/H26</f>
        <v>8.1619602544130681E-3</v>
      </c>
      <c r="J26" s="296">
        <f>D26/H26</f>
        <v>1.3340333422268888E-3</v>
      </c>
      <c r="K26" s="289" t="s">
        <v>518</v>
      </c>
      <c r="L26" s="291"/>
      <c r="M26" s="297">
        <v>2021</v>
      </c>
      <c r="N26" s="289"/>
      <c r="O26" s="290">
        <f>F26-(F26/100)</f>
        <v>938.84669999999994</v>
      </c>
      <c r="P26" s="298">
        <f>C26-(C26/100)</f>
        <v>13.843467</v>
      </c>
      <c r="Q26" s="299">
        <f>P26/R26</f>
        <v>1.1914610677430739E-4</v>
      </c>
      <c r="R26" s="290">
        <v>116189</v>
      </c>
      <c r="S26" s="300">
        <f>O26/R26</f>
        <v>8.0803406518689374E-3</v>
      </c>
      <c r="T26" s="301">
        <f>((D26)-(D26/100))/R26</f>
        <v>1.32069300880462E-3</v>
      </c>
      <c r="U26" s="290"/>
      <c r="V26" s="302">
        <f>P26/R26</f>
        <v>1.1914610677430739E-4</v>
      </c>
      <c r="W26" s="302">
        <f>S26-I26</f>
        <v>-8.1619602544130698E-5</v>
      </c>
      <c r="X26" s="302">
        <f>T26-J26</f>
        <v>-1.3340333422268884E-5</v>
      </c>
      <c r="Y26" s="288" t="s">
        <v>519</v>
      </c>
      <c r="Z26" s="288" t="s">
        <v>520</v>
      </c>
    </row>
    <row r="27" spans="1:28" x14ac:dyDescent="0.25">
      <c r="A27" s="292"/>
      <c r="B27" s="303" t="s">
        <v>522</v>
      </c>
      <c r="C27" s="304">
        <v>3.9832999999999998</v>
      </c>
      <c r="D27" s="308">
        <v>100</v>
      </c>
      <c r="E27" s="290"/>
      <c r="F27" s="304">
        <f>C27*D27</f>
        <v>398.33</v>
      </c>
      <c r="G27" s="293"/>
      <c r="H27" s="305">
        <v>116189</v>
      </c>
      <c r="I27" s="290"/>
      <c r="J27" s="299"/>
      <c r="K27" s="307" t="s">
        <v>524</v>
      </c>
      <c r="L27" s="290"/>
      <c r="M27" s="297"/>
      <c r="N27" s="289"/>
      <c r="O27" s="290"/>
      <c r="P27" s="298"/>
      <c r="Q27" s="299"/>
      <c r="R27" s="290"/>
      <c r="S27" s="290"/>
      <c r="T27" s="301"/>
      <c r="U27" s="290"/>
      <c r="V27" s="302"/>
      <c r="W27" s="302"/>
      <c r="X27" s="302"/>
      <c r="Y27" s="288"/>
      <c r="Z27" s="288"/>
    </row>
    <row r="28" spans="1:28" x14ac:dyDescent="0.25">
      <c r="A28" s="306">
        <v>2017</v>
      </c>
      <c r="B28" s="306"/>
      <c r="C28" s="304">
        <f>SUM(C29:C30)</f>
        <v>10</v>
      </c>
      <c r="D28" s="308">
        <f>SUM(D29:D30)</f>
        <v>55</v>
      </c>
      <c r="E28" s="304"/>
      <c r="F28" s="304">
        <f>SUM(F29:F30)</f>
        <v>550</v>
      </c>
      <c r="G28" s="290"/>
      <c r="H28" s="290">
        <v>114940</v>
      </c>
      <c r="I28" s="290"/>
      <c r="J28" s="290"/>
      <c r="K28" s="290"/>
      <c r="L28" s="290"/>
      <c r="M28" s="290"/>
      <c r="N28" s="290"/>
      <c r="O28" s="290"/>
      <c r="P28" s="290"/>
      <c r="Q28" s="290"/>
      <c r="R28" s="290"/>
      <c r="S28" s="290"/>
      <c r="T28" s="290"/>
      <c r="U28" s="290"/>
      <c r="V28" s="290"/>
      <c r="W28" s="290"/>
      <c r="X28" s="290"/>
      <c r="Y28" s="290"/>
      <c r="Z28" s="291"/>
    </row>
    <row r="29" spans="1:28" x14ac:dyDescent="0.25">
      <c r="A29" s="306"/>
      <c r="B29" s="306" t="s">
        <v>522</v>
      </c>
      <c r="C29" s="304">
        <v>10</v>
      </c>
      <c r="D29" s="290">
        <v>55</v>
      </c>
      <c r="E29" s="290"/>
      <c r="F29" s="304">
        <f t="shared" ref="F29" si="0">C29*D29</f>
        <v>550</v>
      </c>
      <c r="G29" s="290"/>
      <c r="H29" s="290">
        <v>114940</v>
      </c>
      <c r="I29" s="290"/>
      <c r="J29" s="290"/>
      <c r="K29" s="307" t="s">
        <v>523</v>
      </c>
      <c r="L29" s="290"/>
      <c r="M29" s="290"/>
      <c r="N29" s="290"/>
      <c r="O29" s="290"/>
      <c r="P29" s="290"/>
      <c r="Q29" s="290"/>
      <c r="R29" s="290"/>
      <c r="S29" s="290"/>
      <c r="T29" s="290"/>
      <c r="U29" s="290"/>
      <c r="V29" s="290"/>
      <c r="W29" s="290"/>
      <c r="X29" s="290"/>
      <c r="Y29" s="290"/>
      <c r="Z29" s="291"/>
    </row>
    <row r="30" spans="1:28" x14ac:dyDescent="0.25">
      <c r="A30" s="306">
        <v>2016</v>
      </c>
      <c r="B30" s="306"/>
      <c r="C30" s="290">
        <v>0</v>
      </c>
      <c r="D30" s="290">
        <v>0</v>
      </c>
      <c r="E30" s="290"/>
      <c r="F30" s="290">
        <v>0</v>
      </c>
      <c r="G30" s="290"/>
      <c r="H30" s="290">
        <v>99264</v>
      </c>
      <c r="I30" s="290"/>
      <c r="J30" s="290"/>
      <c r="K30" s="290"/>
      <c r="L30" s="290"/>
      <c r="M30" s="290"/>
      <c r="N30" s="290"/>
      <c r="O30" s="290"/>
      <c r="P30" s="290"/>
      <c r="Q30" s="290"/>
      <c r="R30" s="290"/>
      <c r="S30" s="290"/>
      <c r="T30" s="290"/>
      <c r="U30" s="290"/>
      <c r="V30" s="290"/>
      <c r="W30" s="290"/>
      <c r="X30" s="290"/>
      <c r="Y30" s="290"/>
      <c r="Z30" s="2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0" customFormat="1" ht="18.75" customHeight="1" x14ac:dyDescent="0.2">
      <c r="A1" s="16"/>
      <c r="B1" s="16"/>
      <c r="M1" s="35" t="s">
        <v>65</v>
      </c>
    </row>
    <row r="2" spans="1:26" s="10" customFormat="1" ht="18.75" customHeight="1" x14ac:dyDescent="0.3">
      <c r="A2" s="16"/>
      <c r="B2" s="16"/>
      <c r="M2" s="13" t="s">
        <v>7</v>
      </c>
    </row>
    <row r="3" spans="1:26" s="10" customFormat="1" ht="18.75" x14ac:dyDescent="0.3">
      <c r="A3" s="15"/>
      <c r="B3" s="15"/>
      <c r="M3" s="13" t="s">
        <v>64</v>
      </c>
    </row>
    <row r="4" spans="1:26" s="10" customFormat="1" ht="18.75" x14ac:dyDescent="0.3">
      <c r="A4" s="15"/>
      <c r="B4" s="15"/>
      <c r="L4" s="13"/>
    </row>
    <row r="5" spans="1:26" s="10" customFormat="1" ht="15.75" x14ac:dyDescent="0.2">
      <c r="A5" s="386" t="str">
        <f>'1. паспорт местоположение'!A5:C5</f>
        <v>Год раскрытия информации: 2023 год</v>
      </c>
      <c r="B5" s="386"/>
      <c r="C5" s="386"/>
      <c r="D5" s="386"/>
      <c r="E5" s="386"/>
      <c r="F5" s="386"/>
      <c r="G5" s="386"/>
      <c r="H5" s="386"/>
      <c r="I5" s="386"/>
      <c r="J5" s="386"/>
      <c r="K5" s="386"/>
      <c r="L5" s="386"/>
      <c r="M5" s="386"/>
      <c r="N5" s="101"/>
      <c r="O5" s="101"/>
      <c r="P5" s="101"/>
      <c r="Q5" s="101"/>
      <c r="R5" s="101"/>
      <c r="S5" s="101"/>
      <c r="T5" s="101"/>
      <c r="U5" s="101"/>
      <c r="V5" s="101"/>
      <c r="W5" s="101"/>
      <c r="X5" s="101"/>
      <c r="Y5" s="101"/>
      <c r="Z5" s="101"/>
    </row>
    <row r="6" spans="1:26" s="10" customFormat="1" ht="18.75" x14ac:dyDescent="0.3">
      <c r="A6" s="15"/>
      <c r="B6" s="15"/>
      <c r="L6" s="13"/>
    </row>
    <row r="7" spans="1:26" s="10" customFormat="1" ht="18.75" x14ac:dyDescent="0.2">
      <c r="A7" s="432" t="s">
        <v>6</v>
      </c>
      <c r="B7" s="432"/>
      <c r="C7" s="432"/>
      <c r="D7" s="432"/>
      <c r="E7" s="432"/>
      <c r="F7" s="432"/>
      <c r="G7" s="432"/>
      <c r="H7" s="432"/>
      <c r="I7" s="432"/>
      <c r="J7" s="432"/>
      <c r="K7" s="432"/>
      <c r="L7" s="432"/>
      <c r="M7" s="432"/>
      <c r="N7" s="93"/>
      <c r="O7" s="93"/>
      <c r="P7" s="93"/>
      <c r="Q7" s="93"/>
      <c r="R7" s="93"/>
      <c r="S7" s="93"/>
      <c r="T7" s="93"/>
      <c r="U7" s="93"/>
      <c r="V7" s="93"/>
      <c r="W7" s="93"/>
      <c r="X7" s="93"/>
    </row>
    <row r="8" spans="1:26" s="10" customFormat="1" ht="18.75" x14ac:dyDescent="0.2">
      <c r="A8" s="432"/>
      <c r="B8" s="432"/>
      <c r="C8" s="432"/>
      <c r="D8" s="432"/>
      <c r="E8" s="432"/>
      <c r="F8" s="432"/>
      <c r="G8" s="432"/>
      <c r="H8" s="432"/>
      <c r="I8" s="432"/>
      <c r="J8" s="432"/>
      <c r="K8" s="432"/>
      <c r="L8" s="432"/>
      <c r="M8" s="432"/>
      <c r="N8" s="93"/>
      <c r="O8" s="93"/>
      <c r="P8" s="93"/>
      <c r="Q8" s="93"/>
      <c r="R8" s="93"/>
      <c r="S8" s="93"/>
      <c r="T8" s="93"/>
      <c r="U8" s="93"/>
      <c r="V8" s="93"/>
      <c r="W8" s="93"/>
      <c r="X8" s="93"/>
    </row>
    <row r="9" spans="1:26" s="10" customFormat="1" ht="18.75" x14ac:dyDescent="0.2">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93"/>
      <c r="O9" s="93"/>
      <c r="P9" s="93"/>
      <c r="Q9" s="93"/>
      <c r="R9" s="93"/>
      <c r="S9" s="93"/>
      <c r="T9" s="93"/>
      <c r="U9" s="93"/>
      <c r="V9" s="93"/>
      <c r="W9" s="93"/>
      <c r="X9" s="93"/>
    </row>
    <row r="10" spans="1:26" s="10" customFormat="1" ht="18.75" x14ac:dyDescent="0.2">
      <c r="A10" s="383" t="s">
        <v>5</v>
      </c>
      <c r="B10" s="383"/>
      <c r="C10" s="383"/>
      <c r="D10" s="383"/>
      <c r="E10" s="383"/>
      <c r="F10" s="383"/>
      <c r="G10" s="383"/>
      <c r="H10" s="383"/>
      <c r="I10" s="383"/>
      <c r="J10" s="383"/>
      <c r="K10" s="383"/>
      <c r="L10" s="383"/>
      <c r="M10" s="383"/>
      <c r="N10" s="93"/>
      <c r="O10" s="93"/>
      <c r="P10" s="93"/>
      <c r="Q10" s="93"/>
      <c r="R10" s="93"/>
      <c r="S10" s="93"/>
      <c r="T10" s="93"/>
      <c r="U10" s="93"/>
      <c r="V10" s="93"/>
      <c r="W10" s="93"/>
      <c r="X10" s="93"/>
    </row>
    <row r="11" spans="1:26" s="10" customFormat="1" ht="18.75" x14ac:dyDescent="0.2">
      <c r="A11" s="432"/>
      <c r="B11" s="432"/>
      <c r="C11" s="432"/>
      <c r="D11" s="432"/>
      <c r="E11" s="432"/>
      <c r="F11" s="432"/>
      <c r="G11" s="432"/>
      <c r="H11" s="432"/>
      <c r="I11" s="432"/>
      <c r="J11" s="432"/>
      <c r="K11" s="432"/>
      <c r="L11" s="432"/>
      <c r="M11" s="432"/>
      <c r="N11" s="93"/>
      <c r="O11" s="93"/>
      <c r="P11" s="93"/>
      <c r="Q11" s="93"/>
      <c r="R11" s="93"/>
      <c r="S11" s="93"/>
      <c r="T11" s="93"/>
      <c r="U11" s="93"/>
      <c r="V11" s="93"/>
      <c r="W11" s="93"/>
      <c r="X11" s="93"/>
    </row>
    <row r="12" spans="1:26" s="10" customFormat="1" ht="18.75" x14ac:dyDescent="0.2">
      <c r="A12" s="433" t="str">
        <f>'1. паспорт местоположение'!A12:C12</f>
        <v>L_16-0257</v>
      </c>
      <c r="B12" s="433"/>
      <c r="C12" s="433"/>
      <c r="D12" s="433"/>
      <c r="E12" s="433"/>
      <c r="F12" s="433"/>
      <c r="G12" s="433"/>
      <c r="H12" s="433"/>
      <c r="I12" s="433"/>
      <c r="J12" s="433"/>
      <c r="K12" s="433"/>
      <c r="L12" s="433"/>
      <c r="M12" s="433"/>
      <c r="N12" s="93"/>
      <c r="O12" s="93"/>
      <c r="P12" s="93"/>
      <c r="Q12" s="93"/>
      <c r="R12" s="93"/>
      <c r="S12" s="93"/>
      <c r="T12" s="93"/>
      <c r="U12" s="93"/>
      <c r="V12" s="93"/>
      <c r="W12" s="93"/>
      <c r="X12" s="93"/>
    </row>
    <row r="13" spans="1:26" s="10" customFormat="1" ht="18.75" x14ac:dyDescent="0.2">
      <c r="A13" s="383" t="s">
        <v>4</v>
      </c>
      <c r="B13" s="383"/>
      <c r="C13" s="383"/>
      <c r="D13" s="383"/>
      <c r="E13" s="383"/>
      <c r="F13" s="383"/>
      <c r="G13" s="383"/>
      <c r="H13" s="383"/>
      <c r="I13" s="383"/>
      <c r="J13" s="383"/>
      <c r="K13" s="383"/>
      <c r="L13" s="383"/>
      <c r="M13" s="383"/>
      <c r="N13" s="93"/>
      <c r="O13" s="93"/>
      <c r="P13" s="93"/>
      <c r="Q13" s="93"/>
      <c r="R13" s="93"/>
      <c r="S13" s="93"/>
      <c r="T13" s="93"/>
      <c r="U13" s="93"/>
      <c r="V13" s="93"/>
      <c r="W13" s="93"/>
      <c r="X13" s="93"/>
    </row>
    <row r="14" spans="1:26" s="7" customFormat="1" ht="15.75" customHeight="1" x14ac:dyDescent="0.2">
      <c r="A14" s="434"/>
      <c r="B14" s="434"/>
      <c r="C14" s="434"/>
      <c r="D14" s="434"/>
      <c r="E14" s="434"/>
      <c r="F14" s="434"/>
      <c r="G14" s="434"/>
      <c r="H14" s="434"/>
      <c r="I14" s="434"/>
      <c r="J14" s="434"/>
      <c r="K14" s="434"/>
      <c r="L14" s="434"/>
      <c r="M14" s="434"/>
      <c r="N14" s="318"/>
      <c r="O14" s="318"/>
      <c r="P14" s="318"/>
      <c r="Q14" s="318"/>
      <c r="R14" s="318"/>
      <c r="S14" s="318"/>
      <c r="T14" s="318"/>
      <c r="U14" s="318"/>
      <c r="V14" s="318"/>
      <c r="W14" s="318"/>
      <c r="X14" s="318"/>
    </row>
    <row r="15" spans="1:26" s="2" customFormat="1" ht="39.75" customHeight="1" x14ac:dyDescent="0.2">
      <c r="A15" s="435" t="str">
        <f>'1. паспорт местоположение'!A15</f>
        <v>Строительство КЛ 15 кВ взамен существующей ВЛ 15 кВ № 15-21 (инв. № 5114657) протяженностью 1,7 км в Гурьевском районе</v>
      </c>
      <c r="B15" s="435"/>
      <c r="C15" s="435"/>
      <c r="D15" s="435"/>
      <c r="E15" s="435"/>
      <c r="F15" s="435"/>
      <c r="G15" s="435"/>
      <c r="H15" s="435"/>
      <c r="I15" s="435"/>
      <c r="J15" s="435"/>
      <c r="K15" s="435"/>
      <c r="L15" s="435"/>
      <c r="M15" s="435"/>
      <c r="N15" s="94"/>
      <c r="O15" s="94"/>
      <c r="P15" s="94"/>
      <c r="Q15" s="94"/>
      <c r="R15" s="94"/>
      <c r="S15" s="94"/>
      <c r="T15" s="94"/>
      <c r="U15" s="94"/>
      <c r="V15" s="94"/>
      <c r="W15" s="94"/>
      <c r="X15" s="94"/>
    </row>
    <row r="16" spans="1:26" s="2" customFormat="1" ht="15" customHeight="1" x14ac:dyDescent="0.2">
      <c r="A16" s="383" t="s">
        <v>3</v>
      </c>
      <c r="B16" s="383"/>
      <c r="C16" s="383"/>
      <c r="D16" s="383"/>
      <c r="E16" s="383"/>
      <c r="F16" s="383"/>
      <c r="G16" s="383"/>
      <c r="H16" s="383"/>
      <c r="I16" s="383"/>
      <c r="J16" s="383"/>
      <c r="K16" s="383"/>
      <c r="L16" s="383"/>
      <c r="M16" s="383"/>
      <c r="N16" s="95"/>
      <c r="O16" s="95"/>
      <c r="P16" s="95"/>
      <c r="Q16" s="95"/>
      <c r="R16" s="95"/>
      <c r="S16" s="95"/>
      <c r="T16" s="95"/>
      <c r="U16" s="95"/>
      <c r="V16" s="95"/>
      <c r="W16" s="95"/>
      <c r="X16" s="95"/>
    </row>
    <row r="17" spans="1:24" s="2" customFormat="1" ht="15" customHeight="1" x14ac:dyDescent="0.2">
      <c r="A17" s="406"/>
      <c r="B17" s="406"/>
      <c r="C17" s="406"/>
      <c r="D17" s="406"/>
      <c r="E17" s="406"/>
      <c r="F17" s="406"/>
      <c r="G17" s="406"/>
      <c r="H17" s="406"/>
      <c r="I17" s="406"/>
      <c r="J17" s="406"/>
      <c r="K17" s="406"/>
      <c r="L17" s="406"/>
      <c r="M17" s="406"/>
      <c r="N17" s="316"/>
      <c r="O17" s="316"/>
      <c r="P17" s="316"/>
      <c r="Q17" s="316"/>
      <c r="R17" s="316"/>
      <c r="S17" s="316"/>
      <c r="T17" s="316"/>
      <c r="U17" s="316"/>
    </row>
    <row r="18" spans="1:24" s="2" customFormat="1" ht="91.5" customHeight="1" x14ac:dyDescent="0.2">
      <c r="A18" s="436" t="s">
        <v>364</v>
      </c>
      <c r="B18" s="436"/>
      <c r="C18" s="436"/>
      <c r="D18" s="436"/>
      <c r="E18" s="436"/>
      <c r="F18" s="436"/>
      <c r="G18" s="436"/>
      <c r="H18" s="436"/>
      <c r="I18" s="436"/>
      <c r="J18" s="436"/>
      <c r="K18" s="436"/>
      <c r="L18" s="436"/>
      <c r="M18" s="436"/>
      <c r="N18" s="5"/>
      <c r="O18" s="5"/>
      <c r="P18" s="5"/>
      <c r="Q18" s="5"/>
      <c r="R18" s="5"/>
      <c r="S18" s="5"/>
      <c r="T18" s="5"/>
      <c r="U18" s="5"/>
      <c r="V18" s="5"/>
      <c r="W18" s="5"/>
      <c r="X18" s="5"/>
    </row>
    <row r="19" spans="1:24" s="2" customFormat="1" ht="78" customHeight="1" x14ac:dyDescent="0.2">
      <c r="A19" s="437" t="s">
        <v>2</v>
      </c>
      <c r="B19" s="437" t="s">
        <v>81</v>
      </c>
      <c r="C19" s="437" t="s">
        <v>80</v>
      </c>
      <c r="D19" s="437" t="s">
        <v>72</v>
      </c>
      <c r="E19" s="438" t="s">
        <v>79</v>
      </c>
      <c r="F19" s="439"/>
      <c r="G19" s="439"/>
      <c r="H19" s="439"/>
      <c r="I19" s="440"/>
      <c r="J19" s="437" t="s">
        <v>78</v>
      </c>
      <c r="K19" s="437"/>
      <c r="L19" s="437"/>
      <c r="M19" s="437"/>
      <c r="N19" s="316"/>
      <c r="O19" s="316"/>
      <c r="P19" s="316"/>
      <c r="Q19" s="316"/>
      <c r="R19" s="316"/>
      <c r="S19" s="316"/>
      <c r="T19" s="316"/>
      <c r="U19" s="316"/>
    </row>
    <row r="20" spans="1:24" s="2" customFormat="1" ht="51" customHeight="1" x14ac:dyDescent="0.2">
      <c r="A20" s="437"/>
      <c r="B20" s="437"/>
      <c r="C20" s="437"/>
      <c r="D20" s="437"/>
      <c r="E20" s="338" t="s">
        <v>77</v>
      </c>
      <c r="F20" s="338" t="s">
        <v>76</v>
      </c>
      <c r="G20" s="338" t="s">
        <v>75</v>
      </c>
      <c r="H20" s="338" t="s">
        <v>74</v>
      </c>
      <c r="I20" s="338" t="s">
        <v>73</v>
      </c>
      <c r="J20" s="338">
        <v>2020</v>
      </c>
      <c r="K20" s="338">
        <v>2021</v>
      </c>
      <c r="L20" s="338">
        <v>2022</v>
      </c>
      <c r="M20" s="338">
        <v>2023</v>
      </c>
      <c r="N20" s="26"/>
      <c r="O20" s="26"/>
      <c r="P20" s="26"/>
      <c r="Q20" s="26"/>
      <c r="R20" s="26"/>
      <c r="S20" s="26"/>
      <c r="T20" s="26"/>
      <c r="U20" s="26"/>
      <c r="V20" s="25"/>
      <c r="W20" s="25"/>
      <c r="X20" s="25"/>
    </row>
    <row r="21" spans="1:24" s="2" customFormat="1" ht="16.5" customHeight="1" x14ac:dyDescent="0.2">
      <c r="A21" s="339">
        <v>1</v>
      </c>
      <c r="B21" s="340">
        <v>2</v>
      </c>
      <c r="C21" s="339">
        <v>3</v>
      </c>
      <c r="D21" s="340">
        <v>4</v>
      </c>
      <c r="E21" s="339">
        <v>5</v>
      </c>
      <c r="F21" s="340">
        <v>6</v>
      </c>
      <c r="G21" s="339">
        <v>7</v>
      </c>
      <c r="H21" s="340">
        <v>8</v>
      </c>
      <c r="I21" s="339">
        <v>9</v>
      </c>
      <c r="J21" s="340">
        <v>10</v>
      </c>
      <c r="K21" s="339">
        <v>11</v>
      </c>
      <c r="L21" s="340">
        <v>12</v>
      </c>
      <c r="M21" s="339">
        <v>13</v>
      </c>
      <c r="N21" s="26"/>
      <c r="O21" s="26"/>
      <c r="P21" s="26"/>
      <c r="Q21" s="26"/>
      <c r="R21" s="26"/>
      <c r="S21" s="26"/>
      <c r="T21" s="26"/>
      <c r="U21" s="26"/>
      <c r="V21" s="25"/>
      <c r="W21" s="25"/>
      <c r="X21" s="25"/>
    </row>
    <row r="22" spans="1:24" s="2" customFormat="1" ht="33" customHeight="1" x14ac:dyDescent="0.2">
      <c r="A22" s="341" t="s">
        <v>61</v>
      </c>
      <c r="B22" s="342" t="s">
        <v>561</v>
      </c>
      <c r="C22" s="343">
        <v>0</v>
      </c>
      <c r="D22" s="343">
        <v>0</v>
      </c>
      <c r="E22" s="343">
        <v>0</v>
      </c>
      <c r="F22" s="343">
        <v>0</v>
      </c>
      <c r="G22" s="343">
        <v>0</v>
      </c>
      <c r="H22" s="343">
        <v>0</v>
      </c>
      <c r="I22" s="343">
        <v>0</v>
      </c>
      <c r="J22" s="344">
        <v>0</v>
      </c>
      <c r="K22" s="344">
        <v>0</v>
      </c>
      <c r="L22" s="345">
        <v>0</v>
      </c>
      <c r="M22" s="345">
        <v>0</v>
      </c>
      <c r="N22" s="26"/>
      <c r="O22" s="26"/>
      <c r="P22" s="26"/>
      <c r="Q22" s="26"/>
      <c r="R22" s="26"/>
      <c r="S22" s="26"/>
      <c r="T22" s="25"/>
      <c r="U22" s="25"/>
      <c r="V22" s="25"/>
      <c r="W22" s="25"/>
      <c r="X22" s="25"/>
    </row>
    <row r="23" spans="1:24"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01"/>
  <sheetViews>
    <sheetView topLeftCell="A66" zoomScale="80" zoomScaleNormal="80" workbookViewId="0">
      <selection activeCell="B81" sqref="B81"/>
    </sheetView>
  </sheetViews>
  <sheetFormatPr defaultColWidth="9.140625" defaultRowHeight="15.75" x14ac:dyDescent="0.2"/>
  <cols>
    <col min="1" max="1" width="61.7109375" style="146" customWidth="1"/>
    <col min="2" max="2" width="18.5703125" style="106" customWidth="1"/>
    <col min="3" max="12" width="16.85546875" style="106" customWidth="1"/>
    <col min="13" max="37" width="16.85546875" style="106" hidden="1" customWidth="1"/>
    <col min="38" max="230" width="9.140625" style="107"/>
    <col min="231" max="231" width="61.7109375" style="107" customWidth="1"/>
    <col min="232" max="232" width="18.5703125" style="107" customWidth="1"/>
    <col min="233" max="272" width="16.85546875" style="107" customWidth="1"/>
    <col min="273" max="274" width="18.5703125" style="107" customWidth="1"/>
    <col min="275" max="275" width="21.7109375" style="107" customWidth="1"/>
    <col min="276" max="486" width="9.140625" style="107"/>
    <col min="487" max="487" width="61.7109375" style="107" customWidth="1"/>
    <col min="488" max="488" width="18.5703125" style="107" customWidth="1"/>
    <col min="489" max="528" width="16.85546875" style="107" customWidth="1"/>
    <col min="529" max="530" width="18.5703125" style="107" customWidth="1"/>
    <col min="531" max="531" width="21.7109375" style="107" customWidth="1"/>
    <col min="532" max="742" width="9.140625" style="107"/>
    <col min="743" max="743" width="61.7109375" style="107" customWidth="1"/>
    <col min="744" max="744" width="18.5703125" style="107" customWidth="1"/>
    <col min="745" max="784" width="16.85546875" style="107" customWidth="1"/>
    <col min="785" max="786" width="18.5703125" style="107" customWidth="1"/>
    <col min="787" max="787" width="21.7109375" style="107" customWidth="1"/>
    <col min="788" max="998" width="9.140625" style="107"/>
    <col min="999" max="999" width="61.7109375" style="107" customWidth="1"/>
    <col min="1000" max="1000" width="18.5703125" style="107" customWidth="1"/>
    <col min="1001" max="1040" width="16.85546875" style="107" customWidth="1"/>
    <col min="1041" max="1042" width="18.5703125" style="107" customWidth="1"/>
    <col min="1043" max="1043" width="21.7109375" style="107" customWidth="1"/>
    <col min="1044" max="1254" width="9.140625" style="107"/>
    <col min="1255" max="1255" width="61.7109375" style="107" customWidth="1"/>
    <col min="1256" max="1256" width="18.5703125" style="107" customWidth="1"/>
    <col min="1257" max="1296" width="16.85546875" style="107" customWidth="1"/>
    <col min="1297" max="1298" width="18.5703125" style="107" customWidth="1"/>
    <col min="1299" max="1299" width="21.7109375" style="107" customWidth="1"/>
    <col min="1300" max="1510" width="9.140625" style="107"/>
    <col min="1511" max="1511" width="61.7109375" style="107" customWidth="1"/>
    <col min="1512" max="1512" width="18.5703125" style="107" customWidth="1"/>
    <col min="1513" max="1552" width="16.85546875" style="107" customWidth="1"/>
    <col min="1553" max="1554" width="18.5703125" style="107" customWidth="1"/>
    <col min="1555" max="1555" width="21.7109375" style="107" customWidth="1"/>
    <col min="1556" max="1766" width="9.140625" style="107"/>
    <col min="1767" max="1767" width="61.7109375" style="107" customWidth="1"/>
    <col min="1768" max="1768" width="18.5703125" style="107" customWidth="1"/>
    <col min="1769" max="1808" width="16.85546875" style="107" customWidth="1"/>
    <col min="1809" max="1810" width="18.5703125" style="107" customWidth="1"/>
    <col min="1811" max="1811" width="21.7109375" style="107" customWidth="1"/>
    <col min="1812" max="2022" width="9.140625" style="107"/>
    <col min="2023" max="2023" width="61.7109375" style="107" customWidth="1"/>
    <col min="2024" max="2024" width="18.5703125" style="107" customWidth="1"/>
    <col min="2025" max="2064" width="16.85546875" style="107" customWidth="1"/>
    <col min="2065" max="2066" width="18.5703125" style="107" customWidth="1"/>
    <col min="2067" max="2067" width="21.7109375" style="107" customWidth="1"/>
    <col min="2068" max="2278" width="9.140625" style="107"/>
    <col min="2279" max="2279" width="61.7109375" style="107" customWidth="1"/>
    <col min="2280" max="2280" width="18.5703125" style="107" customWidth="1"/>
    <col min="2281" max="2320" width="16.85546875" style="107" customWidth="1"/>
    <col min="2321" max="2322" width="18.5703125" style="107" customWidth="1"/>
    <col min="2323" max="2323" width="21.7109375" style="107" customWidth="1"/>
    <col min="2324" max="2534" width="9.140625" style="107"/>
    <col min="2535" max="2535" width="61.7109375" style="107" customWidth="1"/>
    <col min="2536" max="2536" width="18.5703125" style="107" customWidth="1"/>
    <col min="2537" max="2576" width="16.85546875" style="107" customWidth="1"/>
    <col min="2577" max="2578" width="18.5703125" style="107" customWidth="1"/>
    <col min="2579" max="2579" width="21.7109375" style="107" customWidth="1"/>
    <col min="2580" max="2790" width="9.140625" style="107"/>
    <col min="2791" max="2791" width="61.7109375" style="107" customWidth="1"/>
    <col min="2792" max="2792" width="18.5703125" style="107" customWidth="1"/>
    <col min="2793" max="2832" width="16.85546875" style="107" customWidth="1"/>
    <col min="2833" max="2834" width="18.5703125" style="107" customWidth="1"/>
    <col min="2835" max="2835" width="21.7109375" style="107" customWidth="1"/>
    <col min="2836" max="3046" width="9.140625" style="107"/>
    <col min="3047" max="3047" width="61.7109375" style="107" customWidth="1"/>
    <col min="3048" max="3048" width="18.5703125" style="107" customWidth="1"/>
    <col min="3049" max="3088" width="16.85546875" style="107" customWidth="1"/>
    <col min="3089" max="3090" width="18.5703125" style="107" customWidth="1"/>
    <col min="3091" max="3091" width="21.7109375" style="107" customWidth="1"/>
    <col min="3092" max="3302" width="9.140625" style="107"/>
    <col min="3303" max="3303" width="61.7109375" style="107" customWidth="1"/>
    <col min="3304" max="3304" width="18.5703125" style="107" customWidth="1"/>
    <col min="3305" max="3344" width="16.85546875" style="107" customWidth="1"/>
    <col min="3345" max="3346" width="18.5703125" style="107" customWidth="1"/>
    <col min="3347" max="3347" width="21.7109375" style="107" customWidth="1"/>
    <col min="3348" max="3558" width="9.140625" style="107"/>
    <col min="3559" max="3559" width="61.7109375" style="107" customWidth="1"/>
    <col min="3560" max="3560" width="18.5703125" style="107" customWidth="1"/>
    <col min="3561" max="3600" width="16.85546875" style="107" customWidth="1"/>
    <col min="3601" max="3602" width="18.5703125" style="107" customWidth="1"/>
    <col min="3603" max="3603" width="21.7109375" style="107" customWidth="1"/>
    <col min="3604" max="3814" width="9.140625" style="107"/>
    <col min="3815" max="3815" width="61.7109375" style="107" customWidth="1"/>
    <col min="3816" max="3816" width="18.5703125" style="107" customWidth="1"/>
    <col min="3817" max="3856" width="16.85546875" style="107" customWidth="1"/>
    <col min="3857" max="3858" width="18.5703125" style="107" customWidth="1"/>
    <col min="3859" max="3859" width="21.7109375" style="107" customWidth="1"/>
    <col min="3860" max="4070" width="9.140625" style="107"/>
    <col min="4071" max="4071" width="61.7109375" style="107" customWidth="1"/>
    <col min="4072" max="4072" width="18.5703125" style="107" customWidth="1"/>
    <col min="4073" max="4112" width="16.85546875" style="107" customWidth="1"/>
    <col min="4113" max="4114" width="18.5703125" style="107" customWidth="1"/>
    <col min="4115" max="4115" width="21.7109375" style="107" customWidth="1"/>
    <col min="4116" max="4326" width="9.140625" style="107"/>
    <col min="4327" max="4327" width="61.7109375" style="107" customWidth="1"/>
    <col min="4328" max="4328" width="18.5703125" style="107" customWidth="1"/>
    <col min="4329" max="4368" width="16.85546875" style="107" customWidth="1"/>
    <col min="4369" max="4370" width="18.5703125" style="107" customWidth="1"/>
    <col min="4371" max="4371" width="21.7109375" style="107" customWidth="1"/>
    <col min="4372" max="4582" width="9.140625" style="107"/>
    <col min="4583" max="4583" width="61.7109375" style="107" customWidth="1"/>
    <col min="4584" max="4584" width="18.5703125" style="107" customWidth="1"/>
    <col min="4585" max="4624" width="16.85546875" style="107" customWidth="1"/>
    <col min="4625" max="4626" width="18.5703125" style="107" customWidth="1"/>
    <col min="4627" max="4627" width="21.7109375" style="107" customWidth="1"/>
    <col min="4628" max="4838" width="9.140625" style="107"/>
    <col min="4839" max="4839" width="61.7109375" style="107" customWidth="1"/>
    <col min="4840" max="4840" width="18.5703125" style="107" customWidth="1"/>
    <col min="4841" max="4880" width="16.85546875" style="107" customWidth="1"/>
    <col min="4881" max="4882" width="18.5703125" style="107" customWidth="1"/>
    <col min="4883" max="4883" width="21.7109375" style="107" customWidth="1"/>
    <col min="4884" max="5094" width="9.140625" style="107"/>
    <col min="5095" max="5095" width="61.7109375" style="107" customWidth="1"/>
    <col min="5096" max="5096" width="18.5703125" style="107" customWidth="1"/>
    <col min="5097" max="5136" width="16.85546875" style="107" customWidth="1"/>
    <col min="5137" max="5138" width="18.5703125" style="107" customWidth="1"/>
    <col min="5139" max="5139" width="21.7109375" style="107" customWidth="1"/>
    <col min="5140" max="5350" width="9.140625" style="107"/>
    <col min="5351" max="5351" width="61.7109375" style="107" customWidth="1"/>
    <col min="5352" max="5352" width="18.5703125" style="107" customWidth="1"/>
    <col min="5353" max="5392" width="16.85546875" style="107" customWidth="1"/>
    <col min="5393" max="5394" width="18.5703125" style="107" customWidth="1"/>
    <col min="5395" max="5395" width="21.7109375" style="107" customWidth="1"/>
    <col min="5396" max="5606" width="9.140625" style="107"/>
    <col min="5607" max="5607" width="61.7109375" style="107" customWidth="1"/>
    <col min="5608" max="5608" width="18.5703125" style="107" customWidth="1"/>
    <col min="5609" max="5648" width="16.85546875" style="107" customWidth="1"/>
    <col min="5649" max="5650" width="18.5703125" style="107" customWidth="1"/>
    <col min="5651" max="5651" width="21.7109375" style="107" customWidth="1"/>
    <col min="5652" max="5862" width="9.140625" style="107"/>
    <col min="5863" max="5863" width="61.7109375" style="107" customWidth="1"/>
    <col min="5864" max="5864" width="18.5703125" style="107" customWidth="1"/>
    <col min="5865" max="5904" width="16.85546875" style="107" customWidth="1"/>
    <col min="5905" max="5906" width="18.5703125" style="107" customWidth="1"/>
    <col min="5907" max="5907" width="21.7109375" style="107" customWidth="1"/>
    <col min="5908" max="6118" width="9.140625" style="107"/>
    <col min="6119" max="6119" width="61.7109375" style="107" customWidth="1"/>
    <col min="6120" max="6120" width="18.5703125" style="107" customWidth="1"/>
    <col min="6121" max="6160" width="16.85546875" style="107" customWidth="1"/>
    <col min="6161" max="6162" width="18.5703125" style="107" customWidth="1"/>
    <col min="6163" max="6163" width="21.7109375" style="107" customWidth="1"/>
    <col min="6164" max="6374" width="9.140625" style="107"/>
    <col min="6375" max="6375" width="61.7109375" style="107" customWidth="1"/>
    <col min="6376" max="6376" width="18.5703125" style="107" customWidth="1"/>
    <col min="6377" max="6416" width="16.85546875" style="107" customWidth="1"/>
    <col min="6417" max="6418" width="18.5703125" style="107" customWidth="1"/>
    <col min="6419" max="6419" width="21.7109375" style="107" customWidth="1"/>
    <col min="6420" max="6630" width="9.140625" style="107"/>
    <col min="6631" max="6631" width="61.7109375" style="107" customWidth="1"/>
    <col min="6632" max="6632" width="18.5703125" style="107" customWidth="1"/>
    <col min="6633" max="6672" width="16.85546875" style="107" customWidth="1"/>
    <col min="6673" max="6674" width="18.5703125" style="107" customWidth="1"/>
    <col min="6675" max="6675" width="21.7109375" style="107" customWidth="1"/>
    <col min="6676" max="6886" width="9.140625" style="107"/>
    <col min="6887" max="6887" width="61.7109375" style="107" customWidth="1"/>
    <col min="6888" max="6888" width="18.5703125" style="107" customWidth="1"/>
    <col min="6889" max="6928" width="16.85546875" style="107" customWidth="1"/>
    <col min="6929" max="6930" width="18.5703125" style="107" customWidth="1"/>
    <col min="6931" max="6931" width="21.7109375" style="107" customWidth="1"/>
    <col min="6932" max="7142" width="9.140625" style="107"/>
    <col min="7143" max="7143" width="61.7109375" style="107" customWidth="1"/>
    <col min="7144" max="7144" width="18.5703125" style="107" customWidth="1"/>
    <col min="7145" max="7184" width="16.85546875" style="107" customWidth="1"/>
    <col min="7185" max="7186" width="18.5703125" style="107" customWidth="1"/>
    <col min="7187" max="7187" width="21.7109375" style="107" customWidth="1"/>
    <col min="7188" max="7398" width="9.140625" style="107"/>
    <col min="7399" max="7399" width="61.7109375" style="107" customWidth="1"/>
    <col min="7400" max="7400" width="18.5703125" style="107" customWidth="1"/>
    <col min="7401" max="7440" width="16.85546875" style="107" customWidth="1"/>
    <col min="7441" max="7442" width="18.5703125" style="107" customWidth="1"/>
    <col min="7443" max="7443" width="21.7109375" style="107" customWidth="1"/>
    <col min="7444" max="7654" width="9.140625" style="107"/>
    <col min="7655" max="7655" width="61.7109375" style="107" customWidth="1"/>
    <col min="7656" max="7656" width="18.5703125" style="107" customWidth="1"/>
    <col min="7657" max="7696" width="16.85546875" style="107" customWidth="1"/>
    <col min="7697" max="7698" width="18.5703125" style="107" customWidth="1"/>
    <col min="7699" max="7699" width="21.7109375" style="107" customWidth="1"/>
    <col min="7700" max="7910" width="9.140625" style="107"/>
    <col min="7911" max="7911" width="61.7109375" style="107" customWidth="1"/>
    <col min="7912" max="7912" width="18.5703125" style="107" customWidth="1"/>
    <col min="7913" max="7952" width="16.85546875" style="107" customWidth="1"/>
    <col min="7953" max="7954" width="18.5703125" style="107" customWidth="1"/>
    <col min="7955" max="7955" width="21.7109375" style="107" customWidth="1"/>
    <col min="7956" max="8166" width="9.140625" style="107"/>
    <col min="8167" max="8167" width="61.7109375" style="107" customWidth="1"/>
    <col min="8168" max="8168" width="18.5703125" style="107" customWidth="1"/>
    <col min="8169" max="8208" width="16.85546875" style="107" customWidth="1"/>
    <col min="8209" max="8210" width="18.5703125" style="107" customWidth="1"/>
    <col min="8211" max="8211" width="21.7109375" style="107" customWidth="1"/>
    <col min="8212" max="8422" width="9.140625" style="107"/>
    <col min="8423" max="8423" width="61.7109375" style="107" customWidth="1"/>
    <col min="8424" max="8424" width="18.5703125" style="107" customWidth="1"/>
    <col min="8425" max="8464" width="16.85546875" style="107" customWidth="1"/>
    <col min="8465" max="8466" width="18.5703125" style="107" customWidth="1"/>
    <col min="8467" max="8467" width="21.7109375" style="107" customWidth="1"/>
    <col min="8468" max="8678" width="9.140625" style="107"/>
    <col min="8679" max="8679" width="61.7109375" style="107" customWidth="1"/>
    <col min="8680" max="8680" width="18.5703125" style="107" customWidth="1"/>
    <col min="8681" max="8720" width="16.85546875" style="107" customWidth="1"/>
    <col min="8721" max="8722" width="18.5703125" style="107" customWidth="1"/>
    <col min="8723" max="8723" width="21.7109375" style="107" customWidth="1"/>
    <col min="8724" max="8934" width="9.140625" style="107"/>
    <col min="8935" max="8935" width="61.7109375" style="107" customWidth="1"/>
    <col min="8936" max="8936" width="18.5703125" style="107" customWidth="1"/>
    <col min="8937" max="8976" width="16.85546875" style="107" customWidth="1"/>
    <col min="8977" max="8978" width="18.5703125" style="107" customWidth="1"/>
    <col min="8979" max="8979" width="21.7109375" style="107" customWidth="1"/>
    <col min="8980" max="9190" width="9.140625" style="107"/>
    <col min="9191" max="9191" width="61.7109375" style="107" customWidth="1"/>
    <col min="9192" max="9192" width="18.5703125" style="107" customWidth="1"/>
    <col min="9193" max="9232" width="16.85546875" style="107" customWidth="1"/>
    <col min="9233" max="9234" width="18.5703125" style="107" customWidth="1"/>
    <col min="9235" max="9235" width="21.7109375" style="107" customWidth="1"/>
    <col min="9236" max="9446" width="9.140625" style="107"/>
    <col min="9447" max="9447" width="61.7109375" style="107" customWidth="1"/>
    <col min="9448" max="9448" width="18.5703125" style="107" customWidth="1"/>
    <col min="9449" max="9488" width="16.85546875" style="107" customWidth="1"/>
    <col min="9489" max="9490" width="18.5703125" style="107" customWidth="1"/>
    <col min="9491" max="9491" width="21.7109375" style="107" customWidth="1"/>
    <col min="9492" max="9702" width="9.140625" style="107"/>
    <col min="9703" max="9703" width="61.7109375" style="107" customWidth="1"/>
    <col min="9704" max="9704" width="18.5703125" style="107" customWidth="1"/>
    <col min="9705" max="9744" width="16.85546875" style="107" customWidth="1"/>
    <col min="9745" max="9746" width="18.5703125" style="107" customWidth="1"/>
    <col min="9747" max="9747" width="21.7109375" style="107" customWidth="1"/>
    <col min="9748" max="9958" width="9.140625" style="107"/>
    <col min="9959" max="9959" width="61.7109375" style="107" customWidth="1"/>
    <col min="9960" max="9960" width="18.5703125" style="107" customWidth="1"/>
    <col min="9961" max="10000" width="16.85546875" style="107" customWidth="1"/>
    <col min="10001" max="10002" width="18.5703125" style="107" customWidth="1"/>
    <col min="10003" max="10003" width="21.7109375" style="107" customWidth="1"/>
    <col min="10004" max="10214" width="9.140625" style="107"/>
    <col min="10215" max="10215" width="61.7109375" style="107" customWidth="1"/>
    <col min="10216" max="10216" width="18.5703125" style="107" customWidth="1"/>
    <col min="10217" max="10256" width="16.85546875" style="107" customWidth="1"/>
    <col min="10257" max="10258" width="18.5703125" style="107" customWidth="1"/>
    <col min="10259" max="10259" width="21.7109375" style="107" customWidth="1"/>
    <col min="10260" max="10470" width="9.140625" style="107"/>
    <col min="10471" max="10471" width="61.7109375" style="107" customWidth="1"/>
    <col min="10472" max="10472" width="18.5703125" style="107" customWidth="1"/>
    <col min="10473" max="10512" width="16.85546875" style="107" customWidth="1"/>
    <col min="10513" max="10514" width="18.5703125" style="107" customWidth="1"/>
    <col min="10515" max="10515" width="21.7109375" style="107" customWidth="1"/>
    <col min="10516" max="10726" width="9.140625" style="107"/>
    <col min="10727" max="10727" width="61.7109375" style="107" customWidth="1"/>
    <col min="10728" max="10728" width="18.5703125" style="107" customWidth="1"/>
    <col min="10729" max="10768" width="16.85546875" style="107" customWidth="1"/>
    <col min="10769" max="10770" width="18.5703125" style="107" customWidth="1"/>
    <col min="10771" max="10771" width="21.7109375" style="107" customWidth="1"/>
    <col min="10772" max="10982" width="9.140625" style="107"/>
    <col min="10983" max="10983" width="61.7109375" style="107" customWidth="1"/>
    <col min="10984" max="10984" width="18.5703125" style="107" customWidth="1"/>
    <col min="10985" max="11024" width="16.85546875" style="107" customWidth="1"/>
    <col min="11025" max="11026" width="18.5703125" style="107" customWidth="1"/>
    <col min="11027" max="11027" width="21.7109375" style="107" customWidth="1"/>
    <col min="11028" max="11238" width="9.140625" style="107"/>
    <col min="11239" max="11239" width="61.7109375" style="107" customWidth="1"/>
    <col min="11240" max="11240" width="18.5703125" style="107" customWidth="1"/>
    <col min="11241" max="11280" width="16.85546875" style="107" customWidth="1"/>
    <col min="11281" max="11282" width="18.5703125" style="107" customWidth="1"/>
    <col min="11283" max="11283" width="21.7109375" style="107" customWidth="1"/>
    <col min="11284" max="11494" width="9.140625" style="107"/>
    <col min="11495" max="11495" width="61.7109375" style="107" customWidth="1"/>
    <col min="11496" max="11496" width="18.5703125" style="107" customWidth="1"/>
    <col min="11497" max="11536" width="16.85546875" style="107" customWidth="1"/>
    <col min="11537" max="11538" width="18.5703125" style="107" customWidth="1"/>
    <col min="11539" max="11539" width="21.7109375" style="107" customWidth="1"/>
    <col min="11540" max="11750" width="9.140625" style="107"/>
    <col min="11751" max="11751" width="61.7109375" style="107" customWidth="1"/>
    <col min="11752" max="11752" width="18.5703125" style="107" customWidth="1"/>
    <col min="11753" max="11792" width="16.85546875" style="107" customWidth="1"/>
    <col min="11793" max="11794" width="18.5703125" style="107" customWidth="1"/>
    <col min="11795" max="11795" width="21.7109375" style="107" customWidth="1"/>
    <col min="11796" max="12006" width="9.140625" style="107"/>
    <col min="12007" max="12007" width="61.7109375" style="107" customWidth="1"/>
    <col min="12008" max="12008" width="18.5703125" style="107" customWidth="1"/>
    <col min="12009" max="12048" width="16.85546875" style="107" customWidth="1"/>
    <col min="12049" max="12050" width="18.5703125" style="107" customWidth="1"/>
    <col min="12051" max="12051" width="21.7109375" style="107" customWidth="1"/>
    <col min="12052" max="12262" width="9.140625" style="107"/>
    <col min="12263" max="12263" width="61.7109375" style="107" customWidth="1"/>
    <col min="12264" max="12264" width="18.5703125" style="107" customWidth="1"/>
    <col min="12265" max="12304" width="16.85546875" style="107" customWidth="1"/>
    <col min="12305" max="12306" width="18.5703125" style="107" customWidth="1"/>
    <col min="12307" max="12307" width="21.7109375" style="107" customWidth="1"/>
    <col min="12308" max="12518" width="9.140625" style="107"/>
    <col min="12519" max="12519" width="61.7109375" style="107" customWidth="1"/>
    <col min="12520" max="12520" width="18.5703125" style="107" customWidth="1"/>
    <col min="12521" max="12560" width="16.85546875" style="107" customWidth="1"/>
    <col min="12561" max="12562" width="18.5703125" style="107" customWidth="1"/>
    <col min="12563" max="12563" width="21.7109375" style="107" customWidth="1"/>
    <col min="12564" max="12774" width="9.140625" style="107"/>
    <col min="12775" max="12775" width="61.7109375" style="107" customWidth="1"/>
    <col min="12776" max="12776" width="18.5703125" style="107" customWidth="1"/>
    <col min="12777" max="12816" width="16.85546875" style="107" customWidth="1"/>
    <col min="12817" max="12818" width="18.5703125" style="107" customWidth="1"/>
    <col min="12819" max="12819" width="21.7109375" style="107" customWidth="1"/>
    <col min="12820" max="13030" width="9.140625" style="107"/>
    <col min="13031" max="13031" width="61.7109375" style="107" customWidth="1"/>
    <col min="13032" max="13032" width="18.5703125" style="107" customWidth="1"/>
    <col min="13033" max="13072" width="16.85546875" style="107" customWidth="1"/>
    <col min="13073" max="13074" width="18.5703125" style="107" customWidth="1"/>
    <col min="13075" max="13075" width="21.7109375" style="107" customWidth="1"/>
    <col min="13076" max="13286" width="9.140625" style="107"/>
    <col min="13287" max="13287" width="61.7109375" style="107" customWidth="1"/>
    <col min="13288" max="13288" width="18.5703125" style="107" customWidth="1"/>
    <col min="13289" max="13328" width="16.85546875" style="107" customWidth="1"/>
    <col min="13329" max="13330" width="18.5703125" style="107" customWidth="1"/>
    <col min="13331" max="13331" width="21.7109375" style="107" customWidth="1"/>
    <col min="13332" max="13542" width="9.140625" style="107"/>
    <col min="13543" max="13543" width="61.7109375" style="107" customWidth="1"/>
    <col min="13544" max="13544" width="18.5703125" style="107" customWidth="1"/>
    <col min="13545" max="13584" width="16.85546875" style="107" customWidth="1"/>
    <col min="13585" max="13586" width="18.5703125" style="107" customWidth="1"/>
    <col min="13587" max="13587" width="21.7109375" style="107" customWidth="1"/>
    <col min="13588" max="13798" width="9.140625" style="107"/>
    <col min="13799" max="13799" width="61.7109375" style="107" customWidth="1"/>
    <col min="13800" max="13800" width="18.5703125" style="107" customWidth="1"/>
    <col min="13801" max="13840" width="16.85546875" style="107" customWidth="1"/>
    <col min="13841" max="13842" width="18.5703125" style="107" customWidth="1"/>
    <col min="13843" max="13843" width="21.7109375" style="107" customWidth="1"/>
    <col min="13844" max="14054" width="9.140625" style="107"/>
    <col min="14055" max="14055" width="61.7109375" style="107" customWidth="1"/>
    <col min="14056" max="14056" width="18.5703125" style="107" customWidth="1"/>
    <col min="14057" max="14096" width="16.85546875" style="107" customWidth="1"/>
    <col min="14097" max="14098" width="18.5703125" style="107" customWidth="1"/>
    <col min="14099" max="14099" width="21.7109375" style="107" customWidth="1"/>
    <col min="14100" max="14310" width="9.140625" style="107"/>
    <col min="14311" max="14311" width="61.7109375" style="107" customWidth="1"/>
    <col min="14312" max="14312" width="18.5703125" style="107" customWidth="1"/>
    <col min="14313" max="14352" width="16.85546875" style="107" customWidth="1"/>
    <col min="14353" max="14354" width="18.5703125" style="107" customWidth="1"/>
    <col min="14355" max="14355" width="21.7109375" style="107" customWidth="1"/>
    <col min="14356" max="14566" width="9.140625" style="107"/>
    <col min="14567" max="14567" width="61.7109375" style="107" customWidth="1"/>
    <col min="14568" max="14568" width="18.5703125" style="107" customWidth="1"/>
    <col min="14569" max="14608" width="16.85546875" style="107" customWidth="1"/>
    <col min="14609" max="14610" width="18.5703125" style="107" customWidth="1"/>
    <col min="14611" max="14611" width="21.7109375" style="107" customWidth="1"/>
    <col min="14612" max="14822" width="9.140625" style="107"/>
    <col min="14823" max="14823" width="61.7109375" style="107" customWidth="1"/>
    <col min="14824" max="14824" width="18.5703125" style="107" customWidth="1"/>
    <col min="14825" max="14864" width="16.85546875" style="107" customWidth="1"/>
    <col min="14865" max="14866" width="18.5703125" style="107" customWidth="1"/>
    <col min="14867" max="14867" width="21.7109375" style="107" customWidth="1"/>
    <col min="14868" max="15078" width="9.140625" style="107"/>
    <col min="15079" max="15079" width="61.7109375" style="107" customWidth="1"/>
    <col min="15080" max="15080" width="18.5703125" style="107" customWidth="1"/>
    <col min="15081" max="15120" width="16.85546875" style="107" customWidth="1"/>
    <col min="15121" max="15122" width="18.5703125" style="107" customWidth="1"/>
    <col min="15123" max="15123" width="21.7109375" style="107" customWidth="1"/>
    <col min="15124" max="15334" width="9.140625" style="107"/>
    <col min="15335" max="15335" width="61.7109375" style="107" customWidth="1"/>
    <col min="15336" max="15336" width="18.5703125" style="107" customWidth="1"/>
    <col min="15337" max="15376" width="16.85546875" style="107" customWidth="1"/>
    <col min="15377" max="15378" width="18.5703125" style="107" customWidth="1"/>
    <col min="15379" max="15379" width="21.7109375" style="107" customWidth="1"/>
    <col min="15380" max="15590" width="9.140625" style="107"/>
    <col min="15591" max="15591" width="61.7109375" style="107" customWidth="1"/>
    <col min="15592" max="15592" width="18.5703125" style="107" customWidth="1"/>
    <col min="15593" max="15632" width="16.85546875" style="107" customWidth="1"/>
    <col min="15633" max="15634" width="18.5703125" style="107" customWidth="1"/>
    <col min="15635" max="15635" width="21.7109375" style="107" customWidth="1"/>
    <col min="15636" max="15846" width="9.140625" style="107"/>
    <col min="15847" max="15847" width="61.7109375" style="107" customWidth="1"/>
    <col min="15848" max="15848" width="18.5703125" style="107" customWidth="1"/>
    <col min="15849" max="15888" width="16.85546875" style="107" customWidth="1"/>
    <col min="15889" max="15890" width="18.5703125" style="107" customWidth="1"/>
    <col min="15891" max="15891" width="21.7109375" style="107" customWidth="1"/>
    <col min="15892" max="16102" width="9.140625" style="107"/>
    <col min="16103" max="16103" width="61.7109375" style="107" customWidth="1"/>
    <col min="16104" max="16104" width="18.5703125" style="107" customWidth="1"/>
    <col min="16105" max="16144" width="16.85546875" style="107" customWidth="1"/>
    <col min="16145" max="16146" width="18.5703125" style="107" customWidth="1"/>
    <col min="16147" max="16147" width="21.7109375" style="107" customWidth="1"/>
    <col min="16148" max="16384" width="9.140625" style="107"/>
  </cols>
  <sheetData>
    <row r="1" spans="1:37" ht="18.75" x14ac:dyDescent="0.2">
      <c r="A1" s="16"/>
      <c r="B1" s="10"/>
      <c r="C1" s="10"/>
      <c r="D1" s="10"/>
      <c r="G1" s="10"/>
      <c r="H1" s="35" t="s">
        <v>65</v>
      </c>
      <c r="I1" s="14"/>
      <c r="J1" s="14"/>
      <c r="K1" s="35"/>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8.75" x14ac:dyDescent="0.3">
      <c r="A2" s="16"/>
      <c r="B2" s="10"/>
      <c r="C2" s="10"/>
      <c r="D2" s="10"/>
      <c r="E2" s="107"/>
      <c r="F2" s="107"/>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8.75" x14ac:dyDescent="0.3">
      <c r="A3" s="15"/>
      <c r="B3" s="10"/>
      <c r="C3" s="10"/>
      <c r="D3" s="10"/>
      <c r="E3" s="107"/>
      <c r="F3" s="107"/>
      <c r="G3" s="10"/>
      <c r="H3" s="13" t="s">
        <v>263</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x14ac:dyDescent="0.2">
      <c r="A5" s="386" t="str">
        <f>'4. паспортбюджет'!A5:O5</f>
        <v>Год раскрытия информации: 2023 год</v>
      </c>
      <c r="B5" s="386"/>
      <c r="C5" s="386"/>
      <c r="D5" s="386"/>
      <c r="E5" s="386"/>
      <c r="F5" s="386"/>
      <c r="G5" s="386"/>
      <c r="H5" s="386"/>
      <c r="I5" s="386"/>
      <c r="J5" s="386"/>
      <c r="K5" s="386"/>
      <c r="L5" s="386"/>
      <c r="M5" s="386"/>
      <c r="N5" s="386"/>
      <c r="O5" s="386"/>
      <c r="P5" s="386"/>
      <c r="Q5" s="144"/>
      <c r="R5" s="144"/>
      <c r="S5" s="144"/>
      <c r="T5" s="144"/>
      <c r="U5" s="144"/>
      <c r="V5" s="144"/>
      <c r="W5" s="144"/>
      <c r="X5" s="144"/>
      <c r="Y5" s="144"/>
      <c r="Z5" s="144"/>
      <c r="AA5" s="144"/>
      <c r="AB5" s="144"/>
      <c r="AC5" s="144"/>
      <c r="AD5" s="144"/>
      <c r="AE5" s="144"/>
      <c r="AF5" s="144"/>
      <c r="AG5" s="144"/>
      <c r="AH5" s="144"/>
      <c r="AI5" s="144"/>
      <c r="AJ5" s="144"/>
      <c r="AK5" s="144"/>
    </row>
    <row r="6" spans="1:37" ht="18.75" x14ac:dyDescent="0.3">
      <c r="A6" s="136"/>
      <c r="B6" s="16"/>
      <c r="C6" s="16"/>
      <c r="D6" s="16"/>
      <c r="E6" s="16"/>
      <c r="F6" s="16"/>
      <c r="G6" s="16"/>
      <c r="H6" s="16"/>
      <c r="I6" s="137"/>
      <c r="J6" s="137"/>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row>
    <row r="7" spans="1:37" ht="18.75" x14ac:dyDescent="0.2">
      <c r="A7" s="395" t="s">
        <v>6</v>
      </c>
      <c r="B7" s="395"/>
      <c r="C7" s="395"/>
      <c r="D7" s="395"/>
      <c r="E7" s="395"/>
      <c r="F7" s="395"/>
      <c r="G7" s="395"/>
      <c r="H7" s="395"/>
      <c r="I7" s="395"/>
      <c r="J7" s="395"/>
      <c r="K7" s="395"/>
      <c r="L7" s="395"/>
      <c r="M7" s="395"/>
      <c r="N7" s="395"/>
      <c r="O7" s="395"/>
      <c r="P7" s="395"/>
      <c r="Q7" s="93"/>
      <c r="R7" s="93"/>
      <c r="S7" s="93"/>
      <c r="T7" s="93"/>
      <c r="U7" s="93"/>
      <c r="V7" s="93"/>
      <c r="W7" s="93"/>
      <c r="X7" s="93"/>
      <c r="Y7" s="93"/>
      <c r="Z7" s="93"/>
      <c r="AA7" s="93"/>
      <c r="AB7" s="93"/>
      <c r="AC7" s="93"/>
      <c r="AD7" s="93"/>
      <c r="AE7" s="93"/>
      <c r="AF7" s="93"/>
      <c r="AG7" s="93"/>
      <c r="AH7" s="93"/>
      <c r="AI7" s="93"/>
      <c r="AJ7" s="93"/>
      <c r="AK7" s="93"/>
    </row>
    <row r="8" spans="1:37" ht="18.75" x14ac:dyDescent="0.2">
      <c r="A8" s="266"/>
      <c r="B8" s="266"/>
      <c r="C8" s="266"/>
      <c r="D8" s="266"/>
      <c r="E8" s="266"/>
      <c r="F8" s="266"/>
      <c r="G8" s="266"/>
      <c r="H8" s="266"/>
      <c r="I8" s="266"/>
      <c r="J8" s="266"/>
      <c r="K8" s="266"/>
      <c r="L8" s="139"/>
      <c r="M8" s="139"/>
      <c r="N8" s="139"/>
      <c r="O8" s="139"/>
      <c r="P8" s="139"/>
      <c r="Q8" s="93"/>
      <c r="R8" s="93"/>
      <c r="S8" s="93"/>
      <c r="T8" s="93"/>
      <c r="U8" s="93"/>
      <c r="V8" s="93"/>
      <c r="W8" s="93"/>
      <c r="X8" s="93"/>
      <c r="Y8" s="93"/>
      <c r="Z8" s="10"/>
      <c r="AA8" s="10"/>
      <c r="AB8" s="10"/>
      <c r="AC8" s="10"/>
      <c r="AD8" s="10"/>
      <c r="AE8" s="10"/>
      <c r="AF8" s="10"/>
      <c r="AG8" s="10"/>
      <c r="AH8" s="10"/>
      <c r="AI8" s="10"/>
      <c r="AJ8" s="10"/>
      <c r="AK8" s="10"/>
    </row>
    <row r="9" spans="1:37" x14ac:dyDescent="0.2">
      <c r="A9" s="396" t="str">
        <f>'4. паспортбюджет'!A9:O9</f>
        <v>Акционерное общество "Россети Янтарь"</v>
      </c>
      <c r="B9" s="396"/>
      <c r="C9" s="396"/>
      <c r="D9" s="396"/>
      <c r="E9" s="396"/>
      <c r="F9" s="396"/>
      <c r="G9" s="396"/>
      <c r="H9" s="396"/>
      <c r="I9" s="396"/>
      <c r="J9" s="396"/>
      <c r="K9" s="396"/>
      <c r="L9" s="396"/>
      <c r="M9" s="396"/>
      <c r="N9" s="396"/>
      <c r="O9" s="396"/>
      <c r="P9" s="396"/>
      <c r="Q9" s="94"/>
      <c r="R9" s="94"/>
      <c r="S9" s="94"/>
      <c r="T9" s="94"/>
      <c r="U9" s="94"/>
      <c r="V9" s="94"/>
      <c r="W9" s="94"/>
      <c r="X9" s="94"/>
      <c r="Y9" s="94"/>
      <c r="Z9" s="94"/>
      <c r="AA9" s="94"/>
      <c r="AB9" s="94"/>
      <c r="AC9" s="94"/>
      <c r="AD9" s="94"/>
      <c r="AE9" s="94"/>
      <c r="AF9" s="94"/>
      <c r="AG9" s="94"/>
      <c r="AH9" s="94"/>
      <c r="AI9" s="94"/>
      <c r="AJ9" s="94"/>
      <c r="AK9" s="94"/>
    </row>
    <row r="10" spans="1:37" x14ac:dyDescent="0.2">
      <c r="A10" s="392" t="s">
        <v>5</v>
      </c>
      <c r="B10" s="392"/>
      <c r="C10" s="392"/>
      <c r="D10" s="392"/>
      <c r="E10" s="392"/>
      <c r="F10" s="392"/>
      <c r="G10" s="392"/>
      <c r="H10" s="392"/>
      <c r="I10" s="392"/>
      <c r="J10" s="392"/>
      <c r="K10" s="392"/>
      <c r="L10" s="392"/>
      <c r="M10" s="392"/>
      <c r="N10" s="392"/>
      <c r="O10" s="392"/>
      <c r="P10" s="392"/>
      <c r="Q10" s="95"/>
      <c r="R10" s="95"/>
      <c r="S10" s="95"/>
      <c r="T10" s="95"/>
      <c r="U10" s="95"/>
      <c r="V10" s="95"/>
      <c r="W10" s="95"/>
      <c r="X10" s="95"/>
      <c r="Y10" s="95"/>
      <c r="Z10" s="95"/>
      <c r="AA10" s="95"/>
      <c r="AB10" s="95"/>
      <c r="AC10" s="95"/>
      <c r="AD10" s="95"/>
      <c r="AE10" s="95"/>
      <c r="AF10" s="95"/>
      <c r="AG10" s="95"/>
      <c r="AH10" s="95"/>
      <c r="AI10" s="95"/>
      <c r="AJ10" s="95"/>
      <c r="AK10" s="95"/>
    </row>
    <row r="11" spans="1:37" ht="18.75" x14ac:dyDescent="0.2">
      <c r="A11" s="266"/>
      <c r="B11" s="266"/>
      <c r="C11" s="266"/>
      <c r="D11" s="266"/>
      <c r="E11" s="266"/>
      <c r="F11" s="266"/>
      <c r="G11" s="266"/>
      <c r="H11" s="266"/>
      <c r="I11" s="266"/>
      <c r="J11" s="266"/>
      <c r="K11" s="266"/>
      <c r="L11" s="139"/>
      <c r="M11" s="139"/>
      <c r="N11" s="139"/>
      <c r="O11" s="139"/>
      <c r="P11" s="139"/>
      <c r="Q11" s="93"/>
      <c r="R11" s="93"/>
      <c r="S11" s="93"/>
      <c r="T11" s="93"/>
      <c r="U11" s="93"/>
      <c r="V11" s="93"/>
      <c r="W11" s="93"/>
      <c r="X11" s="93"/>
      <c r="Y11" s="93"/>
      <c r="Z11" s="10"/>
      <c r="AA11" s="10"/>
      <c r="AB11" s="10"/>
      <c r="AC11" s="10"/>
      <c r="AD11" s="10"/>
      <c r="AE11" s="10"/>
      <c r="AF11" s="10"/>
      <c r="AG11" s="10"/>
      <c r="AH11" s="10"/>
      <c r="AI11" s="10"/>
      <c r="AJ11" s="10"/>
      <c r="AK11" s="10"/>
    </row>
    <row r="12" spans="1:37" x14ac:dyDescent="0.2">
      <c r="A12" s="396" t="str">
        <f>'4. паспортбюджет'!A12:O12</f>
        <v>L_16-0257</v>
      </c>
      <c r="B12" s="396"/>
      <c r="C12" s="396"/>
      <c r="D12" s="396"/>
      <c r="E12" s="396"/>
      <c r="F12" s="396"/>
      <c r="G12" s="396"/>
      <c r="H12" s="396"/>
      <c r="I12" s="396"/>
      <c r="J12" s="396"/>
      <c r="K12" s="396"/>
      <c r="L12" s="396"/>
      <c r="M12" s="396"/>
      <c r="N12" s="396"/>
      <c r="O12" s="396"/>
      <c r="P12" s="396"/>
      <c r="Q12" s="94"/>
      <c r="R12" s="94"/>
      <c r="S12" s="94"/>
      <c r="T12" s="94"/>
      <c r="U12" s="94"/>
      <c r="V12" s="94"/>
      <c r="W12" s="94"/>
      <c r="X12" s="94"/>
      <c r="Y12" s="94"/>
      <c r="Z12" s="94"/>
      <c r="AA12" s="94"/>
      <c r="AB12" s="94"/>
      <c r="AC12" s="94"/>
      <c r="AD12" s="94"/>
      <c r="AE12" s="94"/>
      <c r="AF12" s="94"/>
      <c r="AG12" s="94"/>
      <c r="AH12" s="94"/>
      <c r="AI12" s="94"/>
      <c r="AJ12" s="94"/>
      <c r="AK12" s="94"/>
    </row>
    <row r="13" spans="1:37" x14ac:dyDescent="0.2">
      <c r="A13" s="392" t="s">
        <v>4</v>
      </c>
      <c r="B13" s="392"/>
      <c r="C13" s="392"/>
      <c r="D13" s="392"/>
      <c r="E13" s="392"/>
      <c r="F13" s="392"/>
      <c r="G13" s="392"/>
      <c r="H13" s="392"/>
      <c r="I13" s="392"/>
      <c r="J13" s="392"/>
      <c r="K13" s="392"/>
      <c r="L13" s="392"/>
      <c r="M13" s="392"/>
      <c r="N13" s="392"/>
      <c r="O13" s="392"/>
      <c r="P13" s="392"/>
      <c r="Q13" s="95"/>
      <c r="R13" s="95"/>
      <c r="S13" s="95"/>
      <c r="T13" s="95"/>
      <c r="U13" s="95"/>
      <c r="V13" s="95"/>
      <c r="W13" s="95"/>
      <c r="X13" s="95"/>
      <c r="Y13" s="95"/>
      <c r="Z13" s="95"/>
      <c r="AA13" s="95"/>
      <c r="AB13" s="95"/>
      <c r="AC13" s="95"/>
      <c r="AD13" s="95"/>
      <c r="AE13" s="95"/>
      <c r="AF13" s="95"/>
      <c r="AG13" s="95"/>
      <c r="AH13" s="95"/>
      <c r="AI13" s="95"/>
      <c r="AJ13" s="95"/>
      <c r="AK13" s="95"/>
    </row>
    <row r="14" spans="1:37" ht="18.75" x14ac:dyDescent="0.2">
      <c r="A14" s="267"/>
      <c r="B14" s="267"/>
      <c r="C14" s="267"/>
      <c r="D14" s="267"/>
      <c r="E14" s="267"/>
      <c r="F14" s="267"/>
      <c r="G14" s="267"/>
      <c r="H14" s="267"/>
      <c r="I14" s="267"/>
      <c r="J14" s="267"/>
      <c r="K14" s="267"/>
      <c r="L14" s="267"/>
      <c r="M14" s="267"/>
      <c r="N14" s="267"/>
      <c r="O14" s="267"/>
      <c r="P14" s="267"/>
      <c r="Q14" s="269"/>
      <c r="R14" s="269"/>
      <c r="S14" s="269"/>
      <c r="T14" s="269"/>
      <c r="U14" s="269"/>
      <c r="V14" s="269"/>
      <c r="W14" s="269"/>
      <c r="X14" s="269"/>
      <c r="Y14" s="269"/>
      <c r="Z14" s="7"/>
      <c r="AA14" s="7"/>
      <c r="AB14" s="7"/>
      <c r="AC14" s="7"/>
      <c r="AD14" s="7"/>
      <c r="AE14" s="7"/>
      <c r="AF14" s="7"/>
      <c r="AG14" s="7"/>
      <c r="AH14" s="7"/>
      <c r="AI14" s="7"/>
      <c r="AJ14" s="7"/>
      <c r="AK14" s="7"/>
    </row>
    <row r="15" spans="1:37" ht="15.75" customHeight="1" x14ac:dyDescent="0.2">
      <c r="A15" s="391" t="str">
        <f>'4. паспортбюджет'!A15:O15</f>
        <v>Строительство КЛ 15 кВ взамен существующей ВЛ 15 кВ № 15-21 (инв. № 5114657) протяженностью 1,7 км в Гурьевском районе</v>
      </c>
      <c r="B15" s="391"/>
      <c r="C15" s="391"/>
      <c r="D15" s="391"/>
      <c r="E15" s="391"/>
      <c r="F15" s="391"/>
      <c r="G15" s="391"/>
      <c r="H15" s="391"/>
      <c r="I15" s="391"/>
      <c r="J15" s="391"/>
      <c r="K15" s="391"/>
      <c r="L15" s="391"/>
      <c r="M15" s="391"/>
      <c r="N15" s="391"/>
      <c r="O15" s="391"/>
      <c r="P15" s="391"/>
      <c r="Q15" s="94"/>
      <c r="R15" s="94"/>
      <c r="S15" s="94"/>
      <c r="T15" s="94"/>
      <c r="U15" s="94"/>
      <c r="V15" s="94"/>
      <c r="W15" s="94"/>
      <c r="X15" s="94"/>
      <c r="Y15" s="94"/>
      <c r="Z15" s="94"/>
      <c r="AA15" s="94"/>
      <c r="AB15" s="94"/>
      <c r="AC15" s="94"/>
      <c r="AD15" s="94"/>
      <c r="AE15" s="94"/>
      <c r="AF15" s="94"/>
      <c r="AG15" s="94"/>
      <c r="AH15" s="94"/>
      <c r="AI15" s="94"/>
      <c r="AJ15" s="94"/>
      <c r="AK15" s="94"/>
    </row>
    <row r="16" spans="1:37" x14ac:dyDescent="0.2">
      <c r="A16" s="383" t="s">
        <v>3</v>
      </c>
      <c r="B16" s="383"/>
      <c r="C16" s="383"/>
      <c r="D16" s="383"/>
      <c r="E16" s="383"/>
      <c r="F16" s="383"/>
      <c r="G16" s="383"/>
      <c r="H16" s="383"/>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row>
    <row r="17" spans="1:37" ht="18.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
      <c r="X17" s="2"/>
      <c r="Y17" s="2"/>
      <c r="Z17" s="2"/>
      <c r="AA17" s="2"/>
      <c r="AB17" s="2"/>
      <c r="AC17" s="2"/>
      <c r="AD17" s="2"/>
      <c r="AE17" s="2"/>
      <c r="AF17" s="2"/>
      <c r="AG17" s="2"/>
      <c r="AH17" s="2"/>
      <c r="AI17" s="2"/>
      <c r="AJ17" s="2"/>
      <c r="AK17" s="2"/>
    </row>
    <row r="18" spans="1:37" ht="18.75" x14ac:dyDescent="0.2">
      <c r="A18" s="385" t="s">
        <v>365</v>
      </c>
      <c r="B18" s="385"/>
      <c r="C18" s="385"/>
      <c r="D18" s="385"/>
      <c r="E18" s="385"/>
      <c r="F18" s="385"/>
      <c r="G18" s="385"/>
      <c r="H18" s="38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row>
    <row r="19" spans="1:37" x14ac:dyDescent="0.2">
      <c r="A19" s="108"/>
      <c r="Q19" s="145"/>
    </row>
    <row r="20" spans="1:37" x14ac:dyDescent="0.2">
      <c r="A20" s="108"/>
      <c r="Q20" s="145"/>
    </row>
    <row r="21" spans="1:37" x14ac:dyDescent="0.2">
      <c r="A21" s="108"/>
      <c r="Q21" s="145"/>
    </row>
    <row r="22" spans="1:37" x14ac:dyDescent="0.2">
      <c r="A22" s="108"/>
      <c r="Q22" s="145"/>
    </row>
    <row r="23" spans="1:37" x14ac:dyDescent="0.2">
      <c r="D23" s="109"/>
      <c r="Q23" s="145"/>
    </row>
    <row r="24" spans="1:37" ht="16.5" thickBot="1" x14ac:dyDescent="0.25">
      <c r="A24" s="147" t="s">
        <v>262</v>
      </c>
      <c r="B24" s="110" t="s">
        <v>0</v>
      </c>
      <c r="D24" s="111"/>
      <c r="E24" s="112"/>
      <c r="F24" s="112"/>
      <c r="G24" s="112"/>
      <c r="H24" s="112"/>
    </row>
    <row r="25" spans="1:37" x14ac:dyDescent="0.2">
      <c r="A25" s="148" t="s">
        <v>400</v>
      </c>
      <c r="B25" s="129">
        <f>'6.2. Паспорт фин осв ввод'!C30*1000000</f>
        <v>5528187.9000000004</v>
      </c>
    </row>
    <row r="26" spans="1:37" x14ac:dyDescent="0.2">
      <c r="A26" s="149" t="s">
        <v>260</v>
      </c>
      <c r="B26" s="150">
        <v>0</v>
      </c>
    </row>
    <row r="27" spans="1:37" x14ac:dyDescent="0.2">
      <c r="A27" s="149" t="s">
        <v>258</v>
      </c>
      <c r="B27" s="150">
        <v>35</v>
      </c>
      <c r="D27" s="109" t="s">
        <v>261</v>
      </c>
    </row>
    <row r="28" spans="1:37" ht="16.149999999999999" customHeight="1" thickBot="1" x14ac:dyDescent="0.25">
      <c r="A28" s="151" t="s">
        <v>256</v>
      </c>
      <c r="B28" s="113">
        <v>1</v>
      </c>
      <c r="D28" s="443" t="s">
        <v>259</v>
      </c>
      <c r="E28" s="444"/>
      <c r="F28" s="445"/>
      <c r="G28" s="454" t="str">
        <f>IF(SUM(B89:L89)=0,"не окупается",SUM(B89:L89))</f>
        <v>не окупается</v>
      </c>
      <c r="H28" s="455"/>
    </row>
    <row r="29" spans="1:37" ht="15.6" customHeight="1" x14ac:dyDescent="0.2">
      <c r="A29" s="148" t="s">
        <v>255</v>
      </c>
      <c r="B29" s="129">
        <f>B25*0.01</f>
        <v>55281.879000000008</v>
      </c>
      <c r="D29" s="443" t="s">
        <v>257</v>
      </c>
      <c r="E29" s="444"/>
      <c r="F29" s="445"/>
      <c r="G29" s="454" t="str">
        <f>IF(SUM(B90:L90)=0,"не окупается",SUM(B90:L90))</f>
        <v>не окупается</v>
      </c>
      <c r="H29" s="455"/>
    </row>
    <row r="30" spans="1:37" ht="27.6" customHeight="1" x14ac:dyDescent="0.2">
      <c r="A30" s="149" t="s">
        <v>401</v>
      </c>
      <c r="B30" s="150">
        <v>1</v>
      </c>
      <c r="D30" s="443" t="s">
        <v>417</v>
      </c>
      <c r="E30" s="444"/>
      <c r="F30" s="445"/>
      <c r="G30" s="446">
        <f>L87</f>
        <v>-5932535.4061943227</v>
      </c>
      <c r="H30" s="447"/>
    </row>
    <row r="31" spans="1:37" x14ac:dyDescent="0.2">
      <c r="A31" s="149" t="s">
        <v>254</v>
      </c>
      <c r="B31" s="150">
        <v>1</v>
      </c>
      <c r="D31" s="448"/>
      <c r="E31" s="449"/>
      <c r="F31" s="450"/>
      <c r="G31" s="448"/>
      <c r="H31" s="450"/>
    </row>
    <row r="32" spans="1:37" x14ac:dyDescent="0.2">
      <c r="A32" s="149" t="s">
        <v>233</v>
      </c>
      <c r="B32" s="150"/>
    </row>
    <row r="33" spans="1:37" x14ac:dyDescent="0.2">
      <c r="A33" s="149" t="s">
        <v>253</v>
      </c>
      <c r="B33" s="150"/>
    </row>
    <row r="34" spans="1:37" x14ac:dyDescent="0.2">
      <c r="A34" s="149" t="s">
        <v>252</v>
      </c>
      <c r="B34" s="150"/>
    </row>
    <row r="35" spans="1:37" x14ac:dyDescent="0.2">
      <c r="A35" s="152"/>
      <c r="B35" s="150"/>
    </row>
    <row r="36" spans="1:37" ht="16.5" thickBot="1" x14ac:dyDescent="0.25">
      <c r="A36" s="151" t="s">
        <v>227</v>
      </c>
      <c r="B36" s="114">
        <v>0.2</v>
      </c>
    </row>
    <row r="37" spans="1:37" x14ac:dyDescent="0.2">
      <c r="A37" s="148" t="s">
        <v>399</v>
      </c>
      <c r="B37" s="129">
        <v>0</v>
      </c>
    </row>
    <row r="38" spans="1:37" x14ac:dyDescent="0.2">
      <c r="A38" s="149" t="s">
        <v>251</v>
      </c>
      <c r="B38" s="150"/>
    </row>
    <row r="39" spans="1:37" ht="16.5" thickBot="1" x14ac:dyDescent="0.25">
      <c r="A39" s="153" t="s">
        <v>250</v>
      </c>
      <c r="B39" s="154"/>
    </row>
    <row r="40" spans="1:37" x14ac:dyDescent="0.2">
      <c r="A40" s="155" t="s">
        <v>402</v>
      </c>
      <c r="B40" s="115">
        <v>1</v>
      </c>
    </row>
    <row r="41" spans="1:37" x14ac:dyDescent="0.2">
      <c r="A41" s="156" t="s">
        <v>249</v>
      </c>
      <c r="B41" s="116"/>
    </row>
    <row r="42" spans="1:37" x14ac:dyDescent="0.2">
      <c r="A42" s="156" t="s">
        <v>248</v>
      </c>
      <c r="B42" s="117"/>
    </row>
    <row r="43" spans="1:37" x14ac:dyDescent="0.2">
      <c r="A43" s="156" t="s">
        <v>247</v>
      </c>
      <c r="B43" s="117">
        <v>0</v>
      </c>
    </row>
    <row r="44" spans="1:37" x14ac:dyDescent="0.2">
      <c r="A44" s="156" t="s">
        <v>246</v>
      </c>
      <c r="B44" s="117">
        <v>0.13</v>
      </c>
    </row>
    <row r="45" spans="1:37" x14ac:dyDescent="0.2">
      <c r="A45" s="156" t="s">
        <v>245</v>
      </c>
      <c r="B45" s="117">
        <f>1-B43</f>
        <v>1</v>
      </c>
    </row>
    <row r="46" spans="1:37" ht="16.5" thickBot="1" x14ac:dyDescent="0.25">
      <c r="A46" s="157" t="s">
        <v>418</v>
      </c>
      <c r="B46" s="158">
        <f>B45*B44+B43*B42*(1-B36)</f>
        <v>0.13</v>
      </c>
      <c r="C46" s="118"/>
    </row>
    <row r="47" spans="1:37" s="160" customFormat="1" x14ac:dyDescent="0.2">
      <c r="A47" s="159" t="s">
        <v>244</v>
      </c>
      <c r="B47" s="119">
        <f>B58</f>
        <v>1</v>
      </c>
      <c r="C47" s="119">
        <f t="shared" ref="C47:AK47" si="0">C58</f>
        <v>2</v>
      </c>
      <c r="D47" s="119">
        <f t="shared" si="0"/>
        <v>3</v>
      </c>
      <c r="E47" s="119">
        <f t="shared" si="0"/>
        <v>4</v>
      </c>
      <c r="F47" s="119">
        <f t="shared" si="0"/>
        <v>5</v>
      </c>
      <c r="G47" s="119">
        <f t="shared" si="0"/>
        <v>6</v>
      </c>
      <c r="H47" s="119">
        <f t="shared" si="0"/>
        <v>7</v>
      </c>
      <c r="I47" s="119">
        <f t="shared" si="0"/>
        <v>8</v>
      </c>
      <c r="J47" s="119">
        <f t="shared" si="0"/>
        <v>9</v>
      </c>
      <c r="K47" s="119">
        <f t="shared" si="0"/>
        <v>10</v>
      </c>
      <c r="L47" s="119">
        <f t="shared" si="0"/>
        <v>11</v>
      </c>
      <c r="M47" s="119">
        <f t="shared" si="0"/>
        <v>12</v>
      </c>
      <c r="N47" s="119">
        <f t="shared" si="0"/>
        <v>13</v>
      </c>
      <c r="O47" s="119">
        <f t="shared" si="0"/>
        <v>14</v>
      </c>
      <c r="P47" s="119">
        <f t="shared" si="0"/>
        <v>15</v>
      </c>
      <c r="Q47" s="119">
        <f t="shared" si="0"/>
        <v>16</v>
      </c>
      <c r="R47" s="119">
        <f t="shared" si="0"/>
        <v>17</v>
      </c>
      <c r="S47" s="119">
        <f t="shared" si="0"/>
        <v>18</v>
      </c>
      <c r="T47" s="119">
        <f t="shared" si="0"/>
        <v>19</v>
      </c>
      <c r="U47" s="119">
        <f t="shared" si="0"/>
        <v>20</v>
      </c>
      <c r="V47" s="119">
        <f t="shared" si="0"/>
        <v>21</v>
      </c>
      <c r="W47" s="119">
        <f t="shared" si="0"/>
        <v>22</v>
      </c>
      <c r="X47" s="119">
        <f t="shared" si="0"/>
        <v>23</v>
      </c>
      <c r="Y47" s="119">
        <f t="shared" si="0"/>
        <v>24</v>
      </c>
      <c r="Z47" s="119">
        <f t="shared" si="0"/>
        <v>25</v>
      </c>
      <c r="AA47" s="119">
        <f t="shared" si="0"/>
        <v>26</v>
      </c>
      <c r="AB47" s="119">
        <f t="shared" si="0"/>
        <v>27</v>
      </c>
      <c r="AC47" s="119">
        <f t="shared" si="0"/>
        <v>28</v>
      </c>
      <c r="AD47" s="119">
        <f t="shared" si="0"/>
        <v>29</v>
      </c>
      <c r="AE47" s="119">
        <f t="shared" si="0"/>
        <v>30</v>
      </c>
      <c r="AF47" s="119">
        <f t="shared" si="0"/>
        <v>31</v>
      </c>
      <c r="AG47" s="119">
        <f t="shared" si="0"/>
        <v>32</v>
      </c>
      <c r="AH47" s="119">
        <f t="shared" si="0"/>
        <v>33</v>
      </c>
      <c r="AI47" s="119">
        <f t="shared" si="0"/>
        <v>34</v>
      </c>
      <c r="AJ47" s="119">
        <f t="shared" si="0"/>
        <v>35</v>
      </c>
      <c r="AK47" s="119">
        <f t="shared" si="0"/>
        <v>36</v>
      </c>
    </row>
    <row r="48" spans="1:37" s="160" customFormat="1" x14ac:dyDescent="0.2">
      <c r="A48" s="161" t="s">
        <v>243</v>
      </c>
      <c r="B48" s="162">
        <f>D129</f>
        <v>4.9001762230179997E-2</v>
      </c>
      <c r="C48" s="162">
        <f t="shared" ref="C48:AI48" si="1">E129</f>
        <v>4.7000273037249997E-2</v>
      </c>
      <c r="D48" s="162">
        <f t="shared" si="1"/>
        <v>4.7E-2</v>
      </c>
      <c r="E48" s="162">
        <f t="shared" si="1"/>
        <v>4.7E-2</v>
      </c>
      <c r="F48" s="162">
        <f t="shared" si="1"/>
        <v>4.7E-2</v>
      </c>
      <c r="G48" s="162">
        <f t="shared" si="1"/>
        <v>4.7E-2</v>
      </c>
      <c r="H48" s="162">
        <f t="shared" si="1"/>
        <v>4.7E-2</v>
      </c>
      <c r="I48" s="162">
        <f t="shared" si="1"/>
        <v>4.7E-2</v>
      </c>
      <c r="J48" s="162">
        <f t="shared" si="1"/>
        <v>4.7E-2</v>
      </c>
      <c r="K48" s="162">
        <f t="shared" si="1"/>
        <v>4.7E-2</v>
      </c>
      <c r="L48" s="162">
        <f t="shared" si="1"/>
        <v>4.7E-2</v>
      </c>
      <c r="M48" s="162">
        <f t="shared" si="1"/>
        <v>4.7E-2</v>
      </c>
      <c r="N48" s="162">
        <f t="shared" si="1"/>
        <v>4.7E-2</v>
      </c>
      <c r="O48" s="162">
        <f t="shared" si="1"/>
        <v>4.7E-2</v>
      </c>
      <c r="P48" s="162">
        <f t="shared" si="1"/>
        <v>4.7E-2</v>
      </c>
      <c r="Q48" s="162">
        <f t="shared" si="1"/>
        <v>4.7E-2</v>
      </c>
      <c r="R48" s="162">
        <f t="shared" si="1"/>
        <v>4.7E-2</v>
      </c>
      <c r="S48" s="162">
        <f t="shared" si="1"/>
        <v>4.7E-2</v>
      </c>
      <c r="T48" s="162">
        <f t="shared" si="1"/>
        <v>4.7E-2</v>
      </c>
      <c r="U48" s="162">
        <f t="shared" si="1"/>
        <v>4.7E-2</v>
      </c>
      <c r="V48" s="162">
        <f t="shared" si="1"/>
        <v>4.7E-2</v>
      </c>
      <c r="W48" s="162">
        <f t="shared" si="1"/>
        <v>4.7E-2</v>
      </c>
      <c r="X48" s="162">
        <f t="shared" si="1"/>
        <v>4.7E-2</v>
      </c>
      <c r="Y48" s="162">
        <f t="shared" si="1"/>
        <v>4.7E-2</v>
      </c>
      <c r="Z48" s="162">
        <f t="shared" si="1"/>
        <v>4.7E-2</v>
      </c>
      <c r="AA48" s="162">
        <f t="shared" si="1"/>
        <v>4.7E-2</v>
      </c>
      <c r="AB48" s="162">
        <f t="shared" si="1"/>
        <v>4.7E-2</v>
      </c>
      <c r="AC48" s="162">
        <f t="shared" si="1"/>
        <v>4.7E-2</v>
      </c>
      <c r="AD48" s="162">
        <f t="shared" si="1"/>
        <v>4.7E-2</v>
      </c>
      <c r="AE48" s="162">
        <f t="shared" si="1"/>
        <v>4.7E-2</v>
      </c>
      <c r="AF48" s="162">
        <f t="shared" si="1"/>
        <v>4.7E-2</v>
      </c>
      <c r="AG48" s="162">
        <f t="shared" si="1"/>
        <v>4.7E-2</v>
      </c>
      <c r="AH48" s="162">
        <f t="shared" si="1"/>
        <v>4.7E-2</v>
      </c>
      <c r="AI48" s="162">
        <f t="shared" si="1"/>
        <v>4.7E-2</v>
      </c>
      <c r="AJ48" s="162">
        <f t="shared" ref="AJ48:AJ49" si="2">AL129</f>
        <v>4.7E-2</v>
      </c>
      <c r="AK48" s="162">
        <f t="shared" ref="AK48:AK49" si="3">AM129</f>
        <v>4.7E-2</v>
      </c>
    </row>
    <row r="49" spans="1:37" s="160" customFormat="1" x14ac:dyDescent="0.2">
      <c r="A49" s="161" t="s">
        <v>242</v>
      </c>
      <c r="B49" s="162">
        <f>D130</f>
        <v>0.10250459143275026</v>
      </c>
      <c r="C49" s="162">
        <f t="shared" ref="C49:AI49" si="4">E130</f>
        <v>0.1543226082549114</v>
      </c>
      <c r="D49" s="162">
        <f t="shared" si="4"/>
        <v>0.20857577084289214</v>
      </c>
      <c r="E49" s="162">
        <f t="shared" si="4"/>
        <v>0.2653788320725079</v>
      </c>
      <c r="F49" s="162">
        <f t="shared" si="4"/>
        <v>0.32485163717991572</v>
      </c>
      <c r="G49" s="162">
        <f t="shared" si="4"/>
        <v>0.38711966412737175</v>
      </c>
      <c r="H49" s="162">
        <f t="shared" si="4"/>
        <v>0.45231428834135823</v>
      </c>
      <c r="I49" s="162">
        <f t="shared" si="4"/>
        <v>0.52057305989340197</v>
      </c>
      <c r="J49" s="162">
        <f t="shared" si="4"/>
        <v>0.59203999370839178</v>
      </c>
      <c r="K49" s="162">
        <f t="shared" si="4"/>
        <v>0.66686587341268599</v>
      </c>
      <c r="L49" s="162">
        <f t="shared" si="4"/>
        <v>0.74520856946308212</v>
      </c>
      <c r="M49" s="162">
        <f t="shared" si="4"/>
        <v>0.82723337222784687</v>
      </c>
      <c r="N49" s="162">
        <f t="shared" si="4"/>
        <v>0.91311334072255557</v>
      </c>
      <c r="O49" s="162">
        <f t="shared" si="4"/>
        <v>1.0030296677365156</v>
      </c>
      <c r="P49" s="162">
        <f t="shared" si="4"/>
        <v>1.0971720621201317</v>
      </c>
      <c r="Q49" s="162">
        <f t="shared" si="4"/>
        <v>1.195739149039778</v>
      </c>
      <c r="R49" s="162">
        <f t="shared" si="4"/>
        <v>1.2989388890446474</v>
      </c>
      <c r="S49" s="162">
        <f t="shared" si="4"/>
        <v>1.4069890168297459</v>
      </c>
      <c r="T49" s="162">
        <f t="shared" si="4"/>
        <v>1.5201175006207439</v>
      </c>
      <c r="U49" s="162">
        <f t="shared" si="4"/>
        <v>1.6385630231499189</v>
      </c>
      <c r="V49" s="162">
        <f t="shared" si="4"/>
        <v>1.7625754852379649</v>
      </c>
      <c r="W49" s="162">
        <f t="shared" si="4"/>
        <v>1.8924165330441491</v>
      </c>
      <c r="X49" s="162">
        <f t="shared" si="4"/>
        <v>2.0283601100972239</v>
      </c>
      <c r="Y49" s="162">
        <f t="shared" si="4"/>
        <v>2.1706930352717935</v>
      </c>
      <c r="Z49" s="162">
        <f t="shared" si="4"/>
        <v>2.3197156079295675</v>
      </c>
      <c r="AA49" s="162">
        <f t="shared" si="4"/>
        <v>2.4757422415022572</v>
      </c>
      <c r="AB49" s="162">
        <f t="shared" si="4"/>
        <v>2.6391021268528632</v>
      </c>
      <c r="AC49" s="162">
        <f t="shared" si="4"/>
        <v>2.8101399268149474</v>
      </c>
      <c r="AD49" s="162">
        <f t="shared" si="4"/>
        <v>2.9892165033752498</v>
      </c>
      <c r="AE49" s="162">
        <f t="shared" si="4"/>
        <v>3.1767096790338867</v>
      </c>
      <c r="AF49" s="162">
        <f t="shared" si="4"/>
        <v>3.3730150339484792</v>
      </c>
      <c r="AG49" s="162">
        <f t="shared" si="4"/>
        <v>3.5785467405440574</v>
      </c>
      <c r="AH49" s="162">
        <f t="shared" si="4"/>
        <v>3.7937384373496279</v>
      </c>
      <c r="AI49" s="162">
        <f t="shared" si="4"/>
        <v>4.0190441439050604</v>
      </c>
      <c r="AJ49" s="162">
        <f t="shared" si="2"/>
        <v>4.2549392186685981</v>
      </c>
      <c r="AK49" s="162">
        <f t="shared" si="3"/>
        <v>4.5019213619460219</v>
      </c>
    </row>
    <row r="50" spans="1:37" s="160" customFormat="1" ht="16.5" thickBot="1" x14ac:dyDescent="0.25">
      <c r="A50" s="163" t="s">
        <v>403</v>
      </c>
      <c r="B50" s="120">
        <f>IF($B$117="да",($B$119-0.05),0)</f>
        <v>0</v>
      </c>
      <c r="C50" s="120">
        <f t="shared" ref="C50:AK50" si="5">C101*(1+C49)</f>
        <v>0</v>
      </c>
      <c r="D50" s="120">
        <f t="shared" si="5"/>
        <v>0</v>
      </c>
      <c r="E50" s="120">
        <f t="shared" si="5"/>
        <v>0</v>
      </c>
      <c r="F50" s="120">
        <f t="shared" si="5"/>
        <v>0</v>
      </c>
      <c r="G50" s="120">
        <f t="shared" si="5"/>
        <v>0</v>
      </c>
      <c r="H50" s="120">
        <f t="shared" si="5"/>
        <v>0</v>
      </c>
      <c r="I50" s="120">
        <f t="shared" si="5"/>
        <v>0</v>
      </c>
      <c r="J50" s="120">
        <f t="shared" si="5"/>
        <v>0</v>
      </c>
      <c r="K50" s="120">
        <f t="shared" si="5"/>
        <v>0</v>
      </c>
      <c r="L50" s="120">
        <f t="shared" si="5"/>
        <v>0</v>
      </c>
      <c r="M50" s="120">
        <f t="shared" si="5"/>
        <v>0</v>
      </c>
      <c r="N50" s="120">
        <f t="shared" si="5"/>
        <v>0</v>
      </c>
      <c r="O50" s="120">
        <f t="shared" si="5"/>
        <v>0</v>
      </c>
      <c r="P50" s="120">
        <f t="shared" si="5"/>
        <v>0</v>
      </c>
      <c r="Q50" s="120">
        <f t="shared" si="5"/>
        <v>0</v>
      </c>
      <c r="R50" s="120">
        <f t="shared" si="5"/>
        <v>0</v>
      </c>
      <c r="S50" s="120">
        <f t="shared" si="5"/>
        <v>0</v>
      </c>
      <c r="T50" s="120">
        <f t="shared" si="5"/>
        <v>0</v>
      </c>
      <c r="U50" s="120">
        <f t="shared" si="5"/>
        <v>0</v>
      </c>
      <c r="V50" s="120">
        <f t="shared" si="5"/>
        <v>0</v>
      </c>
      <c r="W50" s="120">
        <f t="shared" si="5"/>
        <v>0</v>
      </c>
      <c r="X50" s="120">
        <f t="shared" si="5"/>
        <v>0</v>
      </c>
      <c r="Y50" s="120">
        <f t="shared" si="5"/>
        <v>0</v>
      </c>
      <c r="Z50" s="120">
        <f t="shared" si="5"/>
        <v>0</v>
      </c>
      <c r="AA50" s="120">
        <f t="shared" si="5"/>
        <v>0</v>
      </c>
      <c r="AB50" s="120">
        <f t="shared" si="5"/>
        <v>0</v>
      </c>
      <c r="AC50" s="120">
        <f t="shared" si="5"/>
        <v>0</v>
      </c>
      <c r="AD50" s="120">
        <f t="shared" si="5"/>
        <v>0</v>
      </c>
      <c r="AE50" s="120">
        <f t="shared" si="5"/>
        <v>0</v>
      </c>
      <c r="AF50" s="120">
        <f t="shared" si="5"/>
        <v>0</v>
      </c>
      <c r="AG50" s="120">
        <f t="shared" si="5"/>
        <v>0</v>
      </c>
      <c r="AH50" s="120">
        <f t="shared" si="5"/>
        <v>0</v>
      </c>
      <c r="AI50" s="120">
        <f t="shared" si="5"/>
        <v>0</v>
      </c>
      <c r="AJ50" s="120">
        <f t="shared" si="5"/>
        <v>0</v>
      </c>
      <c r="AK50" s="120">
        <f t="shared" si="5"/>
        <v>0</v>
      </c>
    </row>
    <row r="51" spans="1:37" ht="16.5" thickBot="1" x14ac:dyDescent="0.25"/>
    <row r="52" spans="1:37" x14ac:dyDescent="0.2">
      <c r="A52" s="164" t="s">
        <v>241</v>
      </c>
      <c r="B52" s="165">
        <f>B58</f>
        <v>1</v>
      </c>
      <c r="C52" s="165">
        <f t="shared" ref="C52:AK52" si="6">C58</f>
        <v>2</v>
      </c>
      <c r="D52" s="165">
        <f t="shared" si="6"/>
        <v>3</v>
      </c>
      <c r="E52" s="165">
        <f t="shared" si="6"/>
        <v>4</v>
      </c>
      <c r="F52" s="165">
        <f t="shared" si="6"/>
        <v>5</v>
      </c>
      <c r="G52" s="165">
        <f t="shared" si="6"/>
        <v>6</v>
      </c>
      <c r="H52" s="165">
        <f t="shared" si="6"/>
        <v>7</v>
      </c>
      <c r="I52" s="165">
        <f t="shared" si="6"/>
        <v>8</v>
      </c>
      <c r="J52" s="165">
        <f t="shared" si="6"/>
        <v>9</v>
      </c>
      <c r="K52" s="165">
        <f t="shared" si="6"/>
        <v>10</v>
      </c>
      <c r="L52" s="165">
        <f t="shared" si="6"/>
        <v>11</v>
      </c>
      <c r="M52" s="165">
        <f t="shared" si="6"/>
        <v>12</v>
      </c>
      <c r="N52" s="165">
        <f t="shared" si="6"/>
        <v>13</v>
      </c>
      <c r="O52" s="165">
        <f t="shared" si="6"/>
        <v>14</v>
      </c>
      <c r="P52" s="165">
        <f t="shared" si="6"/>
        <v>15</v>
      </c>
      <c r="Q52" s="165">
        <f t="shared" si="6"/>
        <v>16</v>
      </c>
      <c r="R52" s="165">
        <f t="shared" si="6"/>
        <v>17</v>
      </c>
      <c r="S52" s="165">
        <f t="shared" si="6"/>
        <v>18</v>
      </c>
      <c r="T52" s="165">
        <f t="shared" si="6"/>
        <v>19</v>
      </c>
      <c r="U52" s="165">
        <f t="shared" si="6"/>
        <v>20</v>
      </c>
      <c r="V52" s="165">
        <f t="shared" si="6"/>
        <v>21</v>
      </c>
      <c r="W52" s="165">
        <f t="shared" si="6"/>
        <v>22</v>
      </c>
      <c r="X52" s="165">
        <f t="shared" si="6"/>
        <v>23</v>
      </c>
      <c r="Y52" s="165">
        <f t="shared" si="6"/>
        <v>24</v>
      </c>
      <c r="Z52" s="165">
        <f t="shared" si="6"/>
        <v>25</v>
      </c>
      <c r="AA52" s="165">
        <f t="shared" si="6"/>
        <v>26</v>
      </c>
      <c r="AB52" s="165">
        <f t="shared" si="6"/>
        <v>27</v>
      </c>
      <c r="AC52" s="165">
        <f t="shared" si="6"/>
        <v>28</v>
      </c>
      <c r="AD52" s="165">
        <f t="shared" si="6"/>
        <v>29</v>
      </c>
      <c r="AE52" s="165">
        <f t="shared" si="6"/>
        <v>30</v>
      </c>
      <c r="AF52" s="165">
        <f t="shared" si="6"/>
        <v>31</v>
      </c>
      <c r="AG52" s="165">
        <f t="shared" si="6"/>
        <v>32</v>
      </c>
      <c r="AH52" s="165">
        <f t="shared" si="6"/>
        <v>33</v>
      </c>
      <c r="AI52" s="165">
        <f t="shared" si="6"/>
        <v>34</v>
      </c>
      <c r="AJ52" s="165">
        <f t="shared" si="6"/>
        <v>35</v>
      </c>
      <c r="AK52" s="165">
        <f t="shared" si="6"/>
        <v>36</v>
      </c>
    </row>
    <row r="53" spans="1:37" x14ac:dyDescent="0.2">
      <c r="A53" s="166" t="s">
        <v>240</v>
      </c>
      <c r="B53" s="167">
        <v>0</v>
      </c>
      <c r="C53" s="167">
        <f t="shared" ref="C53:AK53" si="7">B53+B54-B55</f>
        <v>0</v>
      </c>
      <c r="D53" s="167">
        <f t="shared" si="7"/>
        <v>0</v>
      </c>
      <c r="E53" s="167">
        <f t="shared" si="7"/>
        <v>0</v>
      </c>
      <c r="F53" s="167">
        <f t="shared" si="7"/>
        <v>0</v>
      </c>
      <c r="G53" s="167">
        <f t="shared" si="7"/>
        <v>0</v>
      </c>
      <c r="H53" s="167">
        <f t="shared" si="7"/>
        <v>0</v>
      </c>
      <c r="I53" s="167">
        <f t="shared" si="7"/>
        <v>0</v>
      </c>
      <c r="J53" s="167">
        <f t="shared" si="7"/>
        <v>0</v>
      </c>
      <c r="K53" s="167">
        <f t="shared" si="7"/>
        <v>0</v>
      </c>
      <c r="L53" s="167">
        <f t="shared" si="7"/>
        <v>0</v>
      </c>
      <c r="M53" s="167">
        <f t="shared" si="7"/>
        <v>0</v>
      </c>
      <c r="N53" s="167">
        <f t="shared" si="7"/>
        <v>0</v>
      </c>
      <c r="O53" s="167">
        <f t="shared" si="7"/>
        <v>0</v>
      </c>
      <c r="P53" s="167">
        <f t="shared" si="7"/>
        <v>0</v>
      </c>
      <c r="Q53" s="167">
        <f t="shared" si="7"/>
        <v>0</v>
      </c>
      <c r="R53" s="167">
        <f t="shared" si="7"/>
        <v>0</v>
      </c>
      <c r="S53" s="167">
        <f t="shared" si="7"/>
        <v>0</v>
      </c>
      <c r="T53" s="167">
        <f t="shared" si="7"/>
        <v>0</v>
      </c>
      <c r="U53" s="167">
        <f t="shared" si="7"/>
        <v>0</v>
      </c>
      <c r="V53" s="167">
        <f t="shared" si="7"/>
        <v>0</v>
      </c>
      <c r="W53" s="167">
        <f t="shared" si="7"/>
        <v>0</v>
      </c>
      <c r="X53" s="167">
        <f t="shared" si="7"/>
        <v>0</v>
      </c>
      <c r="Y53" s="167">
        <f t="shared" si="7"/>
        <v>0</v>
      </c>
      <c r="Z53" s="167">
        <f t="shared" si="7"/>
        <v>0</v>
      </c>
      <c r="AA53" s="167">
        <f t="shared" si="7"/>
        <v>0</v>
      </c>
      <c r="AB53" s="167">
        <f t="shared" si="7"/>
        <v>0</v>
      </c>
      <c r="AC53" s="167">
        <f t="shared" si="7"/>
        <v>0</v>
      </c>
      <c r="AD53" s="167">
        <f t="shared" si="7"/>
        <v>0</v>
      </c>
      <c r="AE53" s="167">
        <f t="shared" si="7"/>
        <v>0</v>
      </c>
      <c r="AF53" s="167">
        <f t="shared" si="7"/>
        <v>0</v>
      </c>
      <c r="AG53" s="167">
        <f t="shared" si="7"/>
        <v>0</v>
      </c>
      <c r="AH53" s="167">
        <f t="shared" si="7"/>
        <v>0</v>
      </c>
      <c r="AI53" s="167">
        <f t="shared" si="7"/>
        <v>0</v>
      </c>
      <c r="AJ53" s="167">
        <f t="shared" si="7"/>
        <v>0</v>
      </c>
      <c r="AK53" s="167">
        <f t="shared" si="7"/>
        <v>0</v>
      </c>
    </row>
    <row r="54" spans="1:37" x14ac:dyDescent="0.2">
      <c r="A54" s="166" t="s">
        <v>239</v>
      </c>
      <c r="B54" s="167">
        <f>B25*B28*B43*1.18</f>
        <v>0</v>
      </c>
      <c r="C54" s="167">
        <v>0</v>
      </c>
      <c r="D54" s="167">
        <v>0</v>
      </c>
      <c r="E54" s="167">
        <v>0</v>
      </c>
      <c r="F54" s="167">
        <v>0</v>
      </c>
      <c r="G54" s="167">
        <v>0</v>
      </c>
      <c r="H54" s="167">
        <v>0</v>
      </c>
      <c r="I54" s="167">
        <v>0</v>
      </c>
      <c r="J54" s="167">
        <v>0</v>
      </c>
      <c r="K54" s="167">
        <v>0</v>
      </c>
      <c r="L54" s="167">
        <v>0</v>
      </c>
      <c r="M54" s="167">
        <v>0</v>
      </c>
      <c r="N54" s="167">
        <v>0</v>
      </c>
      <c r="O54" s="167">
        <v>0</v>
      </c>
      <c r="P54" s="167">
        <v>0</v>
      </c>
      <c r="Q54" s="167">
        <v>0</v>
      </c>
      <c r="R54" s="167">
        <v>0</v>
      </c>
      <c r="S54" s="167">
        <v>0</v>
      </c>
      <c r="T54" s="167">
        <v>0</v>
      </c>
      <c r="U54" s="167">
        <v>0</v>
      </c>
      <c r="V54" s="167">
        <v>0</v>
      </c>
      <c r="W54" s="167">
        <v>0</v>
      </c>
      <c r="X54" s="167">
        <v>0</v>
      </c>
      <c r="Y54" s="167">
        <v>0</v>
      </c>
      <c r="Z54" s="167">
        <v>0</v>
      </c>
      <c r="AA54" s="167">
        <v>0</v>
      </c>
      <c r="AB54" s="167">
        <v>0</v>
      </c>
      <c r="AC54" s="167">
        <v>0</v>
      </c>
      <c r="AD54" s="167">
        <v>0</v>
      </c>
      <c r="AE54" s="167">
        <v>0</v>
      </c>
      <c r="AF54" s="167">
        <v>0</v>
      </c>
      <c r="AG54" s="167">
        <v>0</v>
      </c>
      <c r="AH54" s="167">
        <v>0</v>
      </c>
      <c r="AI54" s="167">
        <v>0</v>
      </c>
      <c r="AJ54" s="167">
        <v>0</v>
      </c>
      <c r="AK54" s="167">
        <v>0</v>
      </c>
    </row>
    <row r="55" spans="1:37" x14ac:dyDescent="0.2">
      <c r="A55" s="166" t="s">
        <v>238</v>
      </c>
      <c r="B55" s="167">
        <f>$B$54/$B$40</f>
        <v>0</v>
      </c>
      <c r="C55" s="167">
        <f t="shared" ref="C55:AK55" si="8">IF(ROUND(C53,1)=0,0,B55+C54/$B$40)</f>
        <v>0</v>
      </c>
      <c r="D55" s="167">
        <f t="shared" si="8"/>
        <v>0</v>
      </c>
      <c r="E55" s="167">
        <f t="shared" si="8"/>
        <v>0</v>
      </c>
      <c r="F55" s="167">
        <f t="shared" si="8"/>
        <v>0</v>
      </c>
      <c r="G55" s="167">
        <f t="shared" si="8"/>
        <v>0</v>
      </c>
      <c r="H55" s="167">
        <f t="shared" si="8"/>
        <v>0</v>
      </c>
      <c r="I55" s="167">
        <f t="shared" si="8"/>
        <v>0</v>
      </c>
      <c r="J55" s="167">
        <f t="shared" si="8"/>
        <v>0</v>
      </c>
      <c r="K55" s="167">
        <f t="shared" si="8"/>
        <v>0</v>
      </c>
      <c r="L55" s="167">
        <f t="shared" si="8"/>
        <v>0</v>
      </c>
      <c r="M55" s="167">
        <f t="shared" si="8"/>
        <v>0</v>
      </c>
      <c r="N55" s="167">
        <f t="shared" si="8"/>
        <v>0</v>
      </c>
      <c r="O55" s="167">
        <f t="shared" si="8"/>
        <v>0</v>
      </c>
      <c r="P55" s="167">
        <f t="shared" si="8"/>
        <v>0</v>
      </c>
      <c r="Q55" s="167">
        <f t="shared" si="8"/>
        <v>0</v>
      </c>
      <c r="R55" s="167">
        <f t="shared" si="8"/>
        <v>0</v>
      </c>
      <c r="S55" s="167">
        <f t="shared" si="8"/>
        <v>0</v>
      </c>
      <c r="T55" s="167">
        <f t="shared" si="8"/>
        <v>0</v>
      </c>
      <c r="U55" s="167">
        <f t="shared" si="8"/>
        <v>0</v>
      </c>
      <c r="V55" s="167">
        <f t="shared" si="8"/>
        <v>0</v>
      </c>
      <c r="W55" s="167">
        <f t="shared" si="8"/>
        <v>0</v>
      </c>
      <c r="X55" s="167">
        <f t="shared" si="8"/>
        <v>0</v>
      </c>
      <c r="Y55" s="167">
        <f t="shared" si="8"/>
        <v>0</v>
      </c>
      <c r="Z55" s="167">
        <f t="shared" si="8"/>
        <v>0</v>
      </c>
      <c r="AA55" s="167">
        <f t="shared" si="8"/>
        <v>0</v>
      </c>
      <c r="AB55" s="167">
        <f t="shared" si="8"/>
        <v>0</v>
      </c>
      <c r="AC55" s="167">
        <f t="shared" si="8"/>
        <v>0</v>
      </c>
      <c r="AD55" s="167">
        <f t="shared" si="8"/>
        <v>0</v>
      </c>
      <c r="AE55" s="167">
        <f t="shared" si="8"/>
        <v>0</v>
      </c>
      <c r="AF55" s="167">
        <f t="shared" si="8"/>
        <v>0</v>
      </c>
      <c r="AG55" s="167">
        <f t="shared" si="8"/>
        <v>0</v>
      </c>
      <c r="AH55" s="167">
        <f t="shared" si="8"/>
        <v>0</v>
      </c>
      <c r="AI55" s="167">
        <f t="shared" si="8"/>
        <v>0</v>
      </c>
      <c r="AJ55" s="167">
        <f t="shared" si="8"/>
        <v>0</v>
      </c>
      <c r="AK55" s="167">
        <f t="shared" si="8"/>
        <v>0</v>
      </c>
    </row>
    <row r="56" spans="1:37" ht="16.5" thickBot="1" x14ac:dyDescent="0.25">
      <c r="A56" s="168" t="s">
        <v>237</v>
      </c>
      <c r="B56" s="169">
        <f t="shared" ref="B56:AK56" si="9">AVERAGE(SUM(B53:B54),(SUM(B53:B54)-B55))*$B$42</f>
        <v>0</v>
      </c>
      <c r="C56" s="169">
        <f t="shared" si="9"/>
        <v>0</v>
      </c>
      <c r="D56" s="169">
        <f t="shared" si="9"/>
        <v>0</v>
      </c>
      <c r="E56" s="169">
        <f t="shared" si="9"/>
        <v>0</v>
      </c>
      <c r="F56" s="169">
        <f t="shared" si="9"/>
        <v>0</v>
      </c>
      <c r="G56" s="169">
        <f t="shared" si="9"/>
        <v>0</v>
      </c>
      <c r="H56" s="169">
        <f t="shared" si="9"/>
        <v>0</v>
      </c>
      <c r="I56" s="169">
        <f t="shared" si="9"/>
        <v>0</v>
      </c>
      <c r="J56" s="169">
        <f t="shared" si="9"/>
        <v>0</v>
      </c>
      <c r="K56" s="169">
        <f t="shared" si="9"/>
        <v>0</v>
      </c>
      <c r="L56" s="169">
        <f t="shared" si="9"/>
        <v>0</v>
      </c>
      <c r="M56" s="169">
        <f t="shared" si="9"/>
        <v>0</v>
      </c>
      <c r="N56" s="169">
        <f t="shared" si="9"/>
        <v>0</v>
      </c>
      <c r="O56" s="169">
        <f t="shared" si="9"/>
        <v>0</v>
      </c>
      <c r="P56" s="169">
        <f t="shared" si="9"/>
        <v>0</v>
      </c>
      <c r="Q56" s="169">
        <f t="shared" si="9"/>
        <v>0</v>
      </c>
      <c r="R56" s="169">
        <f t="shared" si="9"/>
        <v>0</v>
      </c>
      <c r="S56" s="169">
        <f t="shared" si="9"/>
        <v>0</v>
      </c>
      <c r="T56" s="169">
        <f t="shared" si="9"/>
        <v>0</v>
      </c>
      <c r="U56" s="169">
        <f t="shared" si="9"/>
        <v>0</v>
      </c>
      <c r="V56" s="169">
        <f t="shared" si="9"/>
        <v>0</v>
      </c>
      <c r="W56" s="169">
        <f t="shared" si="9"/>
        <v>0</v>
      </c>
      <c r="X56" s="169">
        <f t="shared" si="9"/>
        <v>0</v>
      </c>
      <c r="Y56" s="169">
        <f t="shared" si="9"/>
        <v>0</v>
      </c>
      <c r="Z56" s="169">
        <f t="shared" si="9"/>
        <v>0</v>
      </c>
      <c r="AA56" s="169">
        <f t="shared" si="9"/>
        <v>0</v>
      </c>
      <c r="AB56" s="169">
        <f t="shared" si="9"/>
        <v>0</v>
      </c>
      <c r="AC56" s="169">
        <f t="shared" si="9"/>
        <v>0</v>
      </c>
      <c r="AD56" s="169">
        <f t="shared" si="9"/>
        <v>0</v>
      </c>
      <c r="AE56" s="169">
        <f t="shared" si="9"/>
        <v>0</v>
      </c>
      <c r="AF56" s="169">
        <f t="shared" si="9"/>
        <v>0</v>
      </c>
      <c r="AG56" s="169">
        <f t="shared" si="9"/>
        <v>0</v>
      </c>
      <c r="AH56" s="169">
        <f t="shared" si="9"/>
        <v>0</v>
      </c>
      <c r="AI56" s="169">
        <f t="shared" si="9"/>
        <v>0</v>
      </c>
      <c r="AJ56" s="169">
        <f t="shared" si="9"/>
        <v>0</v>
      </c>
      <c r="AK56" s="169">
        <f t="shared" si="9"/>
        <v>0</v>
      </c>
    </row>
    <row r="57" spans="1:37" s="172" customFormat="1" ht="16.5" thickBot="1" x14ac:dyDescent="0.25">
      <c r="A57" s="170"/>
      <c r="B57" s="171"/>
      <c r="C57" s="171"/>
      <c r="D57" s="171"/>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1"/>
      <c r="AK57" s="171"/>
    </row>
    <row r="58" spans="1:37" x14ac:dyDescent="0.2">
      <c r="A58" s="164" t="s">
        <v>404</v>
      </c>
      <c r="B58" s="165">
        <v>1</v>
      </c>
      <c r="C58" s="165">
        <f>B58+1</f>
        <v>2</v>
      </c>
      <c r="D58" s="165">
        <f t="shared" ref="D58:AK58" si="10">C58+1</f>
        <v>3</v>
      </c>
      <c r="E58" s="165">
        <f t="shared" si="10"/>
        <v>4</v>
      </c>
      <c r="F58" s="165">
        <f t="shared" si="10"/>
        <v>5</v>
      </c>
      <c r="G58" s="165">
        <f t="shared" si="10"/>
        <v>6</v>
      </c>
      <c r="H58" s="165">
        <f t="shared" si="10"/>
        <v>7</v>
      </c>
      <c r="I58" s="165">
        <f t="shared" si="10"/>
        <v>8</v>
      </c>
      <c r="J58" s="165">
        <f t="shared" si="10"/>
        <v>9</v>
      </c>
      <c r="K58" s="165">
        <f t="shared" si="10"/>
        <v>10</v>
      </c>
      <c r="L58" s="165">
        <f t="shared" si="10"/>
        <v>11</v>
      </c>
      <c r="M58" s="165">
        <f t="shared" si="10"/>
        <v>12</v>
      </c>
      <c r="N58" s="165">
        <f t="shared" si="10"/>
        <v>13</v>
      </c>
      <c r="O58" s="165">
        <f t="shared" si="10"/>
        <v>14</v>
      </c>
      <c r="P58" s="165">
        <f t="shared" si="10"/>
        <v>15</v>
      </c>
      <c r="Q58" s="165">
        <f t="shared" si="10"/>
        <v>16</v>
      </c>
      <c r="R58" s="165">
        <f t="shared" si="10"/>
        <v>17</v>
      </c>
      <c r="S58" s="165">
        <f t="shared" si="10"/>
        <v>18</v>
      </c>
      <c r="T58" s="165">
        <f t="shared" si="10"/>
        <v>19</v>
      </c>
      <c r="U58" s="165">
        <f t="shared" si="10"/>
        <v>20</v>
      </c>
      <c r="V58" s="165">
        <f t="shared" si="10"/>
        <v>21</v>
      </c>
      <c r="W58" s="165">
        <f t="shared" si="10"/>
        <v>22</v>
      </c>
      <c r="X58" s="165">
        <f t="shared" si="10"/>
        <v>23</v>
      </c>
      <c r="Y58" s="165">
        <f t="shared" si="10"/>
        <v>24</v>
      </c>
      <c r="Z58" s="165">
        <f t="shared" si="10"/>
        <v>25</v>
      </c>
      <c r="AA58" s="165">
        <f t="shared" si="10"/>
        <v>26</v>
      </c>
      <c r="AB58" s="165">
        <f t="shared" si="10"/>
        <v>27</v>
      </c>
      <c r="AC58" s="165">
        <f t="shared" si="10"/>
        <v>28</v>
      </c>
      <c r="AD58" s="165">
        <f t="shared" si="10"/>
        <v>29</v>
      </c>
      <c r="AE58" s="165">
        <f t="shared" si="10"/>
        <v>30</v>
      </c>
      <c r="AF58" s="165">
        <f t="shared" si="10"/>
        <v>31</v>
      </c>
      <c r="AG58" s="165">
        <f t="shared" si="10"/>
        <v>32</v>
      </c>
      <c r="AH58" s="165">
        <f t="shared" si="10"/>
        <v>33</v>
      </c>
      <c r="AI58" s="165">
        <f t="shared" si="10"/>
        <v>34</v>
      </c>
      <c r="AJ58" s="165">
        <f t="shared" si="10"/>
        <v>35</v>
      </c>
      <c r="AK58" s="165">
        <f t="shared" si="10"/>
        <v>36</v>
      </c>
    </row>
    <row r="59" spans="1:37" ht="14.25" x14ac:dyDescent="0.2">
      <c r="A59" s="173" t="s">
        <v>236</v>
      </c>
      <c r="B59" s="174">
        <f t="shared" ref="B59:AK59" si="11">B50*$B$28</f>
        <v>0</v>
      </c>
      <c r="C59" s="174">
        <f t="shared" si="11"/>
        <v>0</v>
      </c>
      <c r="D59" s="174">
        <f t="shared" si="11"/>
        <v>0</v>
      </c>
      <c r="E59" s="174">
        <f t="shared" si="11"/>
        <v>0</v>
      </c>
      <c r="F59" s="174">
        <f t="shared" si="11"/>
        <v>0</v>
      </c>
      <c r="G59" s="174">
        <f t="shared" si="11"/>
        <v>0</v>
      </c>
      <c r="H59" s="174">
        <f t="shared" si="11"/>
        <v>0</v>
      </c>
      <c r="I59" s="174">
        <f t="shared" si="11"/>
        <v>0</v>
      </c>
      <c r="J59" s="174">
        <f t="shared" si="11"/>
        <v>0</v>
      </c>
      <c r="K59" s="174">
        <f t="shared" si="11"/>
        <v>0</v>
      </c>
      <c r="L59" s="174">
        <f t="shared" si="11"/>
        <v>0</v>
      </c>
      <c r="M59" s="174">
        <f t="shared" si="11"/>
        <v>0</v>
      </c>
      <c r="N59" s="174">
        <f t="shared" si="11"/>
        <v>0</v>
      </c>
      <c r="O59" s="174">
        <f t="shared" si="11"/>
        <v>0</v>
      </c>
      <c r="P59" s="174">
        <f t="shared" si="11"/>
        <v>0</v>
      </c>
      <c r="Q59" s="174">
        <f t="shared" si="11"/>
        <v>0</v>
      </c>
      <c r="R59" s="174">
        <f t="shared" si="11"/>
        <v>0</v>
      </c>
      <c r="S59" s="174">
        <f t="shared" si="11"/>
        <v>0</v>
      </c>
      <c r="T59" s="174">
        <f t="shared" si="11"/>
        <v>0</v>
      </c>
      <c r="U59" s="174">
        <f t="shared" si="11"/>
        <v>0</v>
      </c>
      <c r="V59" s="174">
        <f t="shared" si="11"/>
        <v>0</v>
      </c>
      <c r="W59" s="174">
        <f t="shared" si="11"/>
        <v>0</v>
      </c>
      <c r="X59" s="174">
        <f t="shared" si="11"/>
        <v>0</v>
      </c>
      <c r="Y59" s="174">
        <f t="shared" si="11"/>
        <v>0</v>
      </c>
      <c r="Z59" s="174">
        <f t="shared" si="11"/>
        <v>0</v>
      </c>
      <c r="AA59" s="174">
        <f t="shared" si="11"/>
        <v>0</v>
      </c>
      <c r="AB59" s="174">
        <f t="shared" si="11"/>
        <v>0</v>
      </c>
      <c r="AC59" s="174">
        <f t="shared" si="11"/>
        <v>0</v>
      </c>
      <c r="AD59" s="174">
        <f t="shared" si="11"/>
        <v>0</v>
      </c>
      <c r="AE59" s="174">
        <f t="shared" si="11"/>
        <v>0</v>
      </c>
      <c r="AF59" s="174">
        <f t="shared" si="11"/>
        <v>0</v>
      </c>
      <c r="AG59" s="174">
        <f t="shared" si="11"/>
        <v>0</v>
      </c>
      <c r="AH59" s="174">
        <f t="shared" si="11"/>
        <v>0</v>
      </c>
      <c r="AI59" s="174">
        <f t="shared" si="11"/>
        <v>0</v>
      </c>
      <c r="AJ59" s="174">
        <f t="shared" si="11"/>
        <v>0</v>
      </c>
      <c r="AK59" s="174">
        <f t="shared" si="11"/>
        <v>0</v>
      </c>
    </row>
    <row r="60" spans="1:37" x14ac:dyDescent="0.2">
      <c r="A60" s="166" t="s">
        <v>235</v>
      </c>
      <c r="B60" s="167">
        <f t="shared" ref="B60:Z60" si="12">SUM(B61:B65)</f>
        <v>0</v>
      </c>
      <c r="C60" s="167">
        <f t="shared" si="12"/>
        <v>-63813.122756512421</v>
      </c>
      <c r="D60" s="167">
        <f>SUM(D61:D65)</f>
        <v>-66812.339526068507</v>
      </c>
      <c r="E60" s="167">
        <f t="shared" si="12"/>
        <v>-69952.519483793716</v>
      </c>
      <c r="F60" s="167">
        <f t="shared" si="12"/>
        <v>-73240.287899532006</v>
      </c>
      <c r="G60" s="167">
        <f t="shared" si="12"/>
        <v>-76682.581430810023</v>
      </c>
      <c r="H60" s="167">
        <f t="shared" si="12"/>
        <v>-80286.662758058083</v>
      </c>
      <c r="I60" s="167">
        <f t="shared" si="12"/>
        <v>-84060.13590768681</v>
      </c>
      <c r="J60" s="167">
        <f t="shared" si="12"/>
        <v>-88010.962295348087</v>
      </c>
      <c r="K60" s="167">
        <f t="shared" si="12"/>
        <v>-92147.477523229434</v>
      </c>
      <c r="L60" s="167">
        <f t="shared" si="12"/>
        <v>-96478.408966821211</v>
      </c>
      <c r="M60" s="167">
        <f t="shared" si="12"/>
        <v>-101012.89418826181</v>
      </c>
      <c r="N60" s="167">
        <f t="shared" si="12"/>
        <v>-105760.50021511011</v>
      </c>
      <c r="O60" s="167">
        <f t="shared" si="12"/>
        <v>-110731.24372522028</v>
      </c>
      <c r="P60" s="167">
        <f t="shared" si="12"/>
        <v>-115935.61218030563</v>
      </c>
      <c r="Q60" s="167">
        <f t="shared" si="12"/>
        <v>-121384.58595277999</v>
      </c>
      <c r="R60" s="167">
        <f t="shared" si="12"/>
        <v>-127089.66149256064</v>
      </c>
      <c r="S60" s="167">
        <f t="shared" si="12"/>
        <v>-133062.87558271099</v>
      </c>
      <c r="T60" s="167">
        <f t="shared" si="12"/>
        <v>-139316.8307350984</v>
      </c>
      <c r="U60" s="167">
        <f t="shared" si="12"/>
        <v>-145864.72177964804</v>
      </c>
      <c r="V60" s="167">
        <f t="shared" si="12"/>
        <v>-152720.36370329148</v>
      </c>
      <c r="W60" s="167">
        <f t="shared" si="12"/>
        <v>-159898.22079734618</v>
      </c>
      <c r="X60" s="167">
        <f t="shared" si="12"/>
        <v>-167413.43717482145</v>
      </c>
      <c r="Y60" s="167">
        <f t="shared" si="12"/>
        <v>-175281.86872203805</v>
      </c>
      <c r="Z60" s="167">
        <f t="shared" si="12"/>
        <v>-183520.11655197383</v>
      </c>
      <c r="AA60" s="167">
        <f t="shared" ref="AA60:AK60" si="13">SUM(AA61:AA65)</f>
        <v>-192145.56202991659</v>
      </c>
      <c r="AB60" s="167">
        <f t="shared" si="13"/>
        <v>-201176.40344532265</v>
      </c>
      <c r="AC60" s="167">
        <f t="shared" si="13"/>
        <v>-210631.6944072528</v>
      </c>
      <c r="AD60" s="167">
        <f t="shared" si="13"/>
        <v>-220531.38404439369</v>
      </c>
      <c r="AE60" s="167">
        <f t="shared" si="13"/>
        <v>-230896.3590944802</v>
      </c>
      <c r="AF60" s="167">
        <f t="shared" si="13"/>
        <v>-241748.48797192075</v>
      </c>
      <c r="AG60" s="167">
        <f t="shared" si="13"/>
        <v>-253110.66690660102</v>
      </c>
      <c r="AH60" s="167">
        <f t="shared" si="13"/>
        <v>-265006.86825121124</v>
      </c>
      <c r="AI60" s="167">
        <f t="shared" si="13"/>
        <v>-277462.19105901819</v>
      </c>
      <c r="AJ60" s="167">
        <f t="shared" si="13"/>
        <v>-290502.91403879202</v>
      </c>
      <c r="AK60" s="167">
        <f t="shared" si="13"/>
        <v>-304156.55099861522</v>
      </c>
    </row>
    <row r="61" spans="1:37" x14ac:dyDescent="0.2">
      <c r="A61" s="175" t="s">
        <v>234</v>
      </c>
      <c r="B61" s="167"/>
      <c r="C61" s="167">
        <f>-IF(C$47&lt;=$B$30,0,$B$29*(1+C$49)*$B$28)</f>
        <v>-63813.122756512421</v>
      </c>
      <c r="D61" s="167">
        <f>-IF(D$47&lt;=$B$30,0,$B$29*(1+D$49)*$B$28)</f>
        <v>-66812.339526068507</v>
      </c>
      <c r="E61" s="167">
        <f t="shared" ref="E61:AK61" si="14">-IF(E$47&lt;=$B$30,0,$B$29*(1+E$49)*$B$28)</f>
        <v>-69952.519483793716</v>
      </c>
      <c r="F61" s="167">
        <f t="shared" si="14"/>
        <v>-73240.287899532006</v>
      </c>
      <c r="G61" s="167">
        <f t="shared" si="14"/>
        <v>-76682.581430810023</v>
      </c>
      <c r="H61" s="167">
        <f t="shared" si="14"/>
        <v>-80286.662758058083</v>
      </c>
      <c r="I61" s="167">
        <f t="shared" si="14"/>
        <v>-84060.13590768681</v>
      </c>
      <c r="J61" s="167">
        <f t="shared" si="14"/>
        <v>-88010.962295348087</v>
      </c>
      <c r="K61" s="167">
        <f t="shared" si="14"/>
        <v>-92147.477523229434</v>
      </c>
      <c r="L61" s="167">
        <f t="shared" si="14"/>
        <v>-96478.408966821211</v>
      </c>
      <c r="M61" s="167">
        <f t="shared" si="14"/>
        <v>-101012.89418826181</v>
      </c>
      <c r="N61" s="167">
        <f t="shared" si="14"/>
        <v>-105760.50021511011</v>
      </c>
      <c r="O61" s="167">
        <f t="shared" si="14"/>
        <v>-110731.24372522028</v>
      </c>
      <c r="P61" s="167">
        <f t="shared" si="14"/>
        <v>-115935.61218030563</v>
      </c>
      <c r="Q61" s="167">
        <f t="shared" si="14"/>
        <v>-121384.58595277999</v>
      </c>
      <c r="R61" s="167">
        <f t="shared" si="14"/>
        <v>-127089.66149256064</v>
      </c>
      <c r="S61" s="167">
        <f t="shared" si="14"/>
        <v>-133062.87558271099</v>
      </c>
      <c r="T61" s="167">
        <f t="shared" si="14"/>
        <v>-139316.8307350984</v>
      </c>
      <c r="U61" s="167">
        <f t="shared" si="14"/>
        <v>-145864.72177964804</v>
      </c>
      <c r="V61" s="167">
        <f t="shared" si="14"/>
        <v>-152720.36370329148</v>
      </c>
      <c r="W61" s="167">
        <f t="shared" si="14"/>
        <v>-159898.22079734618</v>
      </c>
      <c r="X61" s="167">
        <f t="shared" si="14"/>
        <v>-167413.43717482145</v>
      </c>
      <c r="Y61" s="167">
        <f t="shared" si="14"/>
        <v>-175281.86872203805</v>
      </c>
      <c r="Z61" s="167">
        <f t="shared" si="14"/>
        <v>-183520.11655197383</v>
      </c>
      <c r="AA61" s="167">
        <f t="shared" si="14"/>
        <v>-192145.56202991659</v>
      </c>
      <c r="AB61" s="167">
        <f t="shared" si="14"/>
        <v>-201176.40344532265</v>
      </c>
      <c r="AC61" s="167">
        <f t="shared" si="14"/>
        <v>-210631.6944072528</v>
      </c>
      <c r="AD61" s="167">
        <f t="shared" si="14"/>
        <v>-220531.38404439369</v>
      </c>
      <c r="AE61" s="167">
        <f t="shared" si="14"/>
        <v>-230896.3590944802</v>
      </c>
      <c r="AF61" s="167">
        <f t="shared" si="14"/>
        <v>-241748.48797192075</v>
      </c>
      <c r="AG61" s="167">
        <f t="shared" si="14"/>
        <v>-253110.66690660102</v>
      </c>
      <c r="AH61" s="167">
        <f t="shared" si="14"/>
        <v>-265006.86825121124</v>
      </c>
      <c r="AI61" s="167">
        <f t="shared" si="14"/>
        <v>-277462.19105901819</v>
      </c>
      <c r="AJ61" s="167">
        <f t="shared" si="14"/>
        <v>-290502.91403879202</v>
      </c>
      <c r="AK61" s="167">
        <f t="shared" si="14"/>
        <v>-304156.55099861522</v>
      </c>
    </row>
    <row r="62" spans="1:37" x14ac:dyDescent="0.2">
      <c r="A62" s="175" t="str">
        <f>A32</f>
        <v>Прочие расходы при эксплуатации объекта, руб. без НДС</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row>
    <row r="63" spans="1:37" x14ac:dyDescent="0.2">
      <c r="A63" s="175" t="s">
        <v>399</v>
      </c>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row>
    <row r="64" spans="1:37" x14ac:dyDescent="0.2">
      <c r="A64" s="175" t="s">
        <v>399</v>
      </c>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row>
    <row r="65" spans="1:37" ht="31.5" x14ac:dyDescent="0.2">
      <c r="A65" s="175" t="s">
        <v>419</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row>
    <row r="66" spans="1:37" ht="28.5" x14ac:dyDescent="0.2">
      <c r="A66" s="176" t="s">
        <v>420</v>
      </c>
      <c r="B66" s="174">
        <f t="shared" ref="B66:AK66" si="15">B59+B60</f>
        <v>0</v>
      </c>
      <c r="C66" s="174">
        <f t="shared" si="15"/>
        <v>-63813.122756512421</v>
      </c>
      <c r="D66" s="174">
        <f t="shared" si="15"/>
        <v>-66812.339526068507</v>
      </c>
      <c r="E66" s="174">
        <f t="shared" si="15"/>
        <v>-69952.519483793716</v>
      </c>
      <c r="F66" s="174">
        <f t="shared" si="15"/>
        <v>-73240.287899532006</v>
      </c>
      <c r="G66" s="174">
        <f t="shared" si="15"/>
        <v>-76682.581430810023</v>
      </c>
      <c r="H66" s="174">
        <f t="shared" si="15"/>
        <v>-80286.662758058083</v>
      </c>
      <c r="I66" s="174">
        <f t="shared" si="15"/>
        <v>-84060.13590768681</v>
      </c>
      <c r="J66" s="174">
        <f t="shared" si="15"/>
        <v>-88010.962295348087</v>
      </c>
      <c r="K66" s="174">
        <f t="shared" si="15"/>
        <v>-92147.477523229434</v>
      </c>
      <c r="L66" s="174">
        <f t="shared" si="15"/>
        <v>-96478.408966821211</v>
      </c>
      <c r="M66" s="174">
        <f t="shared" si="15"/>
        <v>-101012.89418826181</v>
      </c>
      <c r="N66" s="174">
        <f t="shared" si="15"/>
        <v>-105760.50021511011</v>
      </c>
      <c r="O66" s="174">
        <f t="shared" si="15"/>
        <v>-110731.24372522028</v>
      </c>
      <c r="P66" s="174">
        <f t="shared" si="15"/>
        <v>-115935.61218030563</v>
      </c>
      <c r="Q66" s="174">
        <f t="shared" si="15"/>
        <v>-121384.58595277999</v>
      </c>
      <c r="R66" s="174">
        <f t="shared" si="15"/>
        <v>-127089.66149256064</v>
      </c>
      <c r="S66" s="174">
        <f t="shared" si="15"/>
        <v>-133062.87558271099</v>
      </c>
      <c r="T66" s="174">
        <f t="shared" si="15"/>
        <v>-139316.8307350984</v>
      </c>
      <c r="U66" s="174">
        <f t="shared" si="15"/>
        <v>-145864.72177964804</v>
      </c>
      <c r="V66" s="174">
        <f t="shared" si="15"/>
        <v>-152720.36370329148</v>
      </c>
      <c r="W66" s="174">
        <f t="shared" si="15"/>
        <v>-159898.22079734618</v>
      </c>
      <c r="X66" s="174">
        <f t="shared" si="15"/>
        <v>-167413.43717482145</v>
      </c>
      <c r="Y66" s="174">
        <f t="shared" si="15"/>
        <v>-175281.86872203805</v>
      </c>
      <c r="Z66" s="174">
        <f t="shared" si="15"/>
        <v>-183520.11655197383</v>
      </c>
      <c r="AA66" s="174">
        <f t="shared" si="15"/>
        <v>-192145.56202991659</v>
      </c>
      <c r="AB66" s="174">
        <f t="shared" si="15"/>
        <v>-201176.40344532265</v>
      </c>
      <c r="AC66" s="174">
        <f t="shared" si="15"/>
        <v>-210631.6944072528</v>
      </c>
      <c r="AD66" s="174">
        <f t="shared" si="15"/>
        <v>-220531.38404439369</v>
      </c>
      <c r="AE66" s="174">
        <f t="shared" si="15"/>
        <v>-230896.3590944802</v>
      </c>
      <c r="AF66" s="174">
        <f t="shared" si="15"/>
        <v>-241748.48797192075</v>
      </c>
      <c r="AG66" s="174">
        <f t="shared" si="15"/>
        <v>-253110.66690660102</v>
      </c>
      <c r="AH66" s="174">
        <f t="shared" si="15"/>
        <v>-265006.86825121124</v>
      </c>
      <c r="AI66" s="174">
        <f t="shared" si="15"/>
        <v>-277462.19105901819</v>
      </c>
      <c r="AJ66" s="174">
        <f t="shared" si="15"/>
        <v>-290502.91403879202</v>
      </c>
      <c r="AK66" s="174">
        <f t="shared" si="15"/>
        <v>-304156.55099861522</v>
      </c>
    </row>
    <row r="67" spans="1:37" x14ac:dyDescent="0.2">
      <c r="A67" s="175" t="s">
        <v>229</v>
      </c>
      <c r="B67" s="177"/>
      <c r="C67" s="167">
        <f>-($B$25)*$B$28/$B$27</f>
        <v>-157948.22571428571</v>
      </c>
      <c r="D67" s="167">
        <f>C67</f>
        <v>-157948.22571428571</v>
      </c>
      <c r="E67" s="167">
        <f t="shared" ref="E67:AK67" si="16">D67</f>
        <v>-157948.22571428571</v>
      </c>
      <c r="F67" s="167">
        <f t="shared" si="16"/>
        <v>-157948.22571428571</v>
      </c>
      <c r="G67" s="167">
        <f t="shared" si="16"/>
        <v>-157948.22571428571</v>
      </c>
      <c r="H67" s="167">
        <f t="shared" si="16"/>
        <v>-157948.22571428571</v>
      </c>
      <c r="I67" s="167">
        <f t="shared" si="16"/>
        <v>-157948.22571428571</v>
      </c>
      <c r="J67" s="167">
        <f t="shared" si="16"/>
        <v>-157948.22571428571</v>
      </c>
      <c r="K67" s="167">
        <f t="shared" si="16"/>
        <v>-157948.22571428571</v>
      </c>
      <c r="L67" s="167">
        <f t="shared" si="16"/>
        <v>-157948.22571428571</v>
      </c>
      <c r="M67" s="167">
        <f t="shared" si="16"/>
        <v>-157948.22571428571</v>
      </c>
      <c r="N67" s="167">
        <f t="shared" si="16"/>
        <v>-157948.22571428571</v>
      </c>
      <c r="O67" s="167">
        <f t="shared" si="16"/>
        <v>-157948.22571428571</v>
      </c>
      <c r="P67" s="167">
        <f t="shared" si="16"/>
        <v>-157948.22571428571</v>
      </c>
      <c r="Q67" s="167">
        <f t="shared" si="16"/>
        <v>-157948.22571428571</v>
      </c>
      <c r="R67" s="167">
        <f t="shared" si="16"/>
        <v>-157948.22571428571</v>
      </c>
      <c r="S67" s="167">
        <f t="shared" si="16"/>
        <v>-157948.22571428571</v>
      </c>
      <c r="T67" s="167">
        <f t="shared" si="16"/>
        <v>-157948.22571428571</v>
      </c>
      <c r="U67" s="167">
        <f t="shared" si="16"/>
        <v>-157948.22571428571</v>
      </c>
      <c r="V67" s="167">
        <f t="shared" si="16"/>
        <v>-157948.22571428571</v>
      </c>
      <c r="W67" s="167">
        <f t="shared" si="16"/>
        <v>-157948.22571428571</v>
      </c>
      <c r="X67" s="167">
        <f t="shared" si="16"/>
        <v>-157948.22571428571</v>
      </c>
      <c r="Y67" s="167">
        <f t="shared" si="16"/>
        <v>-157948.22571428571</v>
      </c>
      <c r="Z67" s="167">
        <f t="shared" si="16"/>
        <v>-157948.22571428571</v>
      </c>
      <c r="AA67" s="167">
        <f t="shared" si="16"/>
        <v>-157948.22571428571</v>
      </c>
      <c r="AB67" s="167">
        <f t="shared" si="16"/>
        <v>-157948.22571428571</v>
      </c>
      <c r="AC67" s="167">
        <f t="shared" si="16"/>
        <v>-157948.22571428571</v>
      </c>
      <c r="AD67" s="167">
        <f t="shared" si="16"/>
        <v>-157948.22571428571</v>
      </c>
      <c r="AE67" s="167">
        <f t="shared" si="16"/>
        <v>-157948.22571428571</v>
      </c>
      <c r="AF67" s="167">
        <f t="shared" si="16"/>
        <v>-157948.22571428571</v>
      </c>
      <c r="AG67" s="167">
        <f t="shared" si="16"/>
        <v>-157948.22571428571</v>
      </c>
      <c r="AH67" s="167">
        <f t="shared" si="16"/>
        <v>-157948.22571428571</v>
      </c>
      <c r="AI67" s="167">
        <f t="shared" si="16"/>
        <v>-157948.22571428571</v>
      </c>
      <c r="AJ67" s="167">
        <f t="shared" si="16"/>
        <v>-157948.22571428571</v>
      </c>
      <c r="AK67" s="167">
        <f t="shared" si="16"/>
        <v>-157948.22571428571</v>
      </c>
    </row>
    <row r="68" spans="1:37" ht="28.5" x14ac:dyDescent="0.2">
      <c r="A68" s="176" t="s">
        <v>421</v>
      </c>
      <c r="B68" s="174">
        <f t="shared" ref="B68:J68" si="17">B66+B67</f>
        <v>0</v>
      </c>
      <c r="C68" s="174">
        <f>C66+C67</f>
        <v>-221761.34847079814</v>
      </c>
      <c r="D68" s="174">
        <f>D66+D67</f>
        <v>-224760.56524035422</v>
      </c>
      <c r="E68" s="174">
        <f t="shared" si="17"/>
        <v>-227900.74519807944</v>
      </c>
      <c r="F68" s="174">
        <f>F66+C67</f>
        <v>-231188.51361381772</v>
      </c>
      <c r="G68" s="174">
        <f t="shared" si="17"/>
        <v>-234630.80714509572</v>
      </c>
      <c r="H68" s="174">
        <f t="shared" si="17"/>
        <v>-238234.8884723438</v>
      </c>
      <c r="I68" s="174">
        <f t="shared" si="17"/>
        <v>-242008.36162197252</v>
      </c>
      <c r="J68" s="174">
        <f t="shared" si="17"/>
        <v>-245959.1880096338</v>
      </c>
      <c r="K68" s="174">
        <f>K66+K67</f>
        <v>-250095.70323751515</v>
      </c>
      <c r="L68" s="174">
        <f>L66+L67</f>
        <v>-254426.63468110692</v>
      </c>
      <c r="M68" s="174">
        <f t="shared" ref="M68:AK68" si="18">M66+M67</f>
        <v>-258961.11990254751</v>
      </c>
      <c r="N68" s="174">
        <f t="shared" si="18"/>
        <v>-263708.72592939582</v>
      </c>
      <c r="O68" s="174">
        <f t="shared" si="18"/>
        <v>-268679.46943950601</v>
      </c>
      <c r="P68" s="174">
        <f t="shared" si="18"/>
        <v>-273883.83789459133</v>
      </c>
      <c r="Q68" s="174">
        <f t="shared" si="18"/>
        <v>-279332.81166706572</v>
      </c>
      <c r="R68" s="174">
        <f t="shared" si="18"/>
        <v>-285037.88720684638</v>
      </c>
      <c r="S68" s="174">
        <f t="shared" si="18"/>
        <v>-291011.1012969967</v>
      </c>
      <c r="T68" s="174">
        <f t="shared" si="18"/>
        <v>-297265.05644938408</v>
      </c>
      <c r="U68" s="174">
        <f t="shared" si="18"/>
        <v>-303812.94749393372</v>
      </c>
      <c r="V68" s="174">
        <f t="shared" si="18"/>
        <v>-310668.5894175772</v>
      </c>
      <c r="W68" s="174">
        <f t="shared" si="18"/>
        <v>-317846.44651163189</v>
      </c>
      <c r="X68" s="174">
        <f t="shared" si="18"/>
        <v>-325361.66288910713</v>
      </c>
      <c r="Y68" s="174">
        <f t="shared" si="18"/>
        <v>-333230.09443632374</v>
      </c>
      <c r="Z68" s="174">
        <f t="shared" si="18"/>
        <v>-341468.34226625954</v>
      </c>
      <c r="AA68" s="174">
        <f t="shared" si="18"/>
        <v>-350093.7877442023</v>
      </c>
      <c r="AB68" s="174">
        <f t="shared" si="18"/>
        <v>-359124.62915960839</v>
      </c>
      <c r="AC68" s="174">
        <f t="shared" si="18"/>
        <v>-368579.92012153851</v>
      </c>
      <c r="AD68" s="174">
        <f t="shared" si="18"/>
        <v>-378479.60975867941</v>
      </c>
      <c r="AE68" s="174">
        <f t="shared" si="18"/>
        <v>-388844.58480876591</v>
      </c>
      <c r="AF68" s="174">
        <f t="shared" si="18"/>
        <v>-399696.71368620649</v>
      </c>
      <c r="AG68" s="174">
        <f t="shared" si="18"/>
        <v>-411058.89262088673</v>
      </c>
      <c r="AH68" s="174">
        <f t="shared" si="18"/>
        <v>-422955.09396549698</v>
      </c>
      <c r="AI68" s="174">
        <f t="shared" si="18"/>
        <v>-435410.41677330388</v>
      </c>
      <c r="AJ68" s="174">
        <f t="shared" si="18"/>
        <v>-448451.13975307776</v>
      </c>
      <c r="AK68" s="174">
        <f t="shared" si="18"/>
        <v>-462104.77671290096</v>
      </c>
    </row>
    <row r="69" spans="1:37" x14ac:dyDescent="0.2">
      <c r="A69" s="175" t="s">
        <v>228</v>
      </c>
      <c r="B69" s="167">
        <f t="shared" ref="B69:AK69" si="19">-B56</f>
        <v>0</v>
      </c>
      <c r="C69" s="167">
        <f t="shared" si="19"/>
        <v>0</v>
      </c>
      <c r="D69" s="167">
        <f t="shared" si="19"/>
        <v>0</v>
      </c>
      <c r="E69" s="167">
        <f t="shared" si="19"/>
        <v>0</v>
      </c>
      <c r="F69" s="167">
        <f t="shared" si="19"/>
        <v>0</v>
      </c>
      <c r="G69" s="167">
        <f t="shared" si="19"/>
        <v>0</v>
      </c>
      <c r="H69" s="167">
        <f t="shared" si="19"/>
        <v>0</v>
      </c>
      <c r="I69" s="167">
        <f t="shared" si="19"/>
        <v>0</v>
      </c>
      <c r="J69" s="167">
        <f t="shared" si="19"/>
        <v>0</v>
      </c>
      <c r="K69" s="167">
        <f t="shared" si="19"/>
        <v>0</v>
      </c>
      <c r="L69" s="167">
        <f t="shared" si="19"/>
        <v>0</v>
      </c>
      <c r="M69" s="167">
        <f t="shared" si="19"/>
        <v>0</v>
      </c>
      <c r="N69" s="167">
        <f t="shared" si="19"/>
        <v>0</v>
      </c>
      <c r="O69" s="167">
        <f t="shared" si="19"/>
        <v>0</v>
      </c>
      <c r="P69" s="167">
        <f t="shared" si="19"/>
        <v>0</v>
      </c>
      <c r="Q69" s="167">
        <f t="shared" si="19"/>
        <v>0</v>
      </c>
      <c r="R69" s="167">
        <f t="shared" si="19"/>
        <v>0</v>
      </c>
      <c r="S69" s="167">
        <f t="shared" si="19"/>
        <v>0</v>
      </c>
      <c r="T69" s="167">
        <f t="shared" si="19"/>
        <v>0</v>
      </c>
      <c r="U69" s="167">
        <f t="shared" si="19"/>
        <v>0</v>
      </c>
      <c r="V69" s="167">
        <f t="shared" si="19"/>
        <v>0</v>
      </c>
      <c r="W69" s="167">
        <f t="shared" si="19"/>
        <v>0</v>
      </c>
      <c r="X69" s="167">
        <f t="shared" si="19"/>
        <v>0</v>
      </c>
      <c r="Y69" s="167">
        <f t="shared" si="19"/>
        <v>0</v>
      </c>
      <c r="Z69" s="167">
        <f t="shared" si="19"/>
        <v>0</v>
      </c>
      <c r="AA69" s="167">
        <f t="shared" si="19"/>
        <v>0</v>
      </c>
      <c r="AB69" s="167">
        <f t="shared" si="19"/>
        <v>0</v>
      </c>
      <c r="AC69" s="167">
        <f t="shared" si="19"/>
        <v>0</v>
      </c>
      <c r="AD69" s="167">
        <f t="shared" si="19"/>
        <v>0</v>
      </c>
      <c r="AE69" s="167">
        <f t="shared" si="19"/>
        <v>0</v>
      </c>
      <c r="AF69" s="167">
        <f t="shared" si="19"/>
        <v>0</v>
      </c>
      <c r="AG69" s="167">
        <f t="shared" si="19"/>
        <v>0</v>
      </c>
      <c r="AH69" s="167">
        <f t="shared" si="19"/>
        <v>0</v>
      </c>
      <c r="AI69" s="167">
        <f t="shared" si="19"/>
        <v>0</v>
      </c>
      <c r="AJ69" s="167">
        <f t="shared" si="19"/>
        <v>0</v>
      </c>
      <c r="AK69" s="167">
        <f t="shared" si="19"/>
        <v>0</v>
      </c>
    </row>
    <row r="70" spans="1:37" ht="14.25" x14ac:dyDescent="0.2">
      <c r="A70" s="176" t="s">
        <v>232</v>
      </c>
      <c r="B70" s="174">
        <f t="shared" ref="B70:AK70" si="20">B68+B69</f>
        <v>0</v>
      </c>
      <c r="C70" s="174">
        <f t="shared" si="20"/>
        <v>-221761.34847079814</v>
      </c>
      <c r="D70" s="174">
        <f t="shared" si="20"/>
        <v>-224760.56524035422</v>
      </c>
      <c r="E70" s="174">
        <f t="shared" si="20"/>
        <v>-227900.74519807944</v>
      </c>
      <c r="F70" s="174">
        <f t="shared" si="20"/>
        <v>-231188.51361381772</v>
      </c>
      <c r="G70" s="174">
        <f t="shared" si="20"/>
        <v>-234630.80714509572</v>
      </c>
      <c r="H70" s="174">
        <f t="shared" si="20"/>
        <v>-238234.8884723438</v>
      </c>
      <c r="I70" s="174">
        <f t="shared" si="20"/>
        <v>-242008.36162197252</v>
      </c>
      <c r="J70" s="174">
        <f t="shared" si="20"/>
        <v>-245959.1880096338</v>
      </c>
      <c r="K70" s="174">
        <f t="shared" si="20"/>
        <v>-250095.70323751515</v>
      </c>
      <c r="L70" s="174">
        <f t="shared" si="20"/>
        <v>-254426.63468110692</v>
      </c>
      <c r="M70" s="174">
        <f t="shared" si="20"/>
        <v>-258961.11990254751</v>
      </c>
      <c r="N70" s="174">
        <f t="shared" si="20"/>
        <v>-263708.72592939582</v>
      </c>
      <c r="O70" s="174">
        <f t="shared" si="20"/>
        <v>-268679.46943950601</v>
      </c>
      <c r="P70" s="174">
        <f t="shared" si="20"/>
        <v>-273883.83789459133</v>
      </c>
      <c r="Q70" s="174">
        <f t="shared" si="20"/>
        <v>-279332.81166706572</v>
      </c>
      <c r="R70" s="174">
        <f t="shared" si="20"/>
        <v>-285037.88720684638</v>
      </c>
      <c r="S70" s="174">
        <f t="shared" si="20"/>
        <v>-291011.1012969967</v>
      </c>
      <c r="T70" s="174">
        <f t="shared" si="20"/>
        <v>-297265.05644938408</v>
      </c>
      <c r="U70" s="174">
        <f t="shared" si="20"/>
        <v>-303812.94749393372</v>
      </c>
      <c r="V70" s="174">
        <f t="shared" si="20"/>
        <v>-310668.5894175772</v>
      </c>
      <c r="W70" s="174">
        <f t="shared" si="20"/>
        <v>-317846.44651163189</v>
      </c>
      <c r="X70" s="174">
        <f t="shared" si="20"/>
        <v>-325361.66288910713</v>
      </c>
      <c r="Y70" s="174">
        <f t="shared" si="20"/>
        <v>-333230.09443632374</v>
      </c>
      <c r="Z70" s="174">
        <f t="shared" si="20"/>
        <v>-341468.34226625954</v>
      </c>
      <c r="AA70" s="174">
        <f t="shared" si="20"/>
        <v>-350093.7877442023</v>
      </c>
      <c r="AB70" s="174">
        <f t="shared" si="20"/>
        <v>-359124.62915960839</v>
      </c>
      <c r="AC70" s="174">
        <f t="shared" si="20"/>
        <v>-368579.92012153851</v>
      </c>
      <c r="AD70" s="174">
        <f t="shared" si="20"/>
        <v>-378479.60975867941</v>
      </c>
      <c r="AE70" s="174">
        <f t="shared" si="20"/>
        <v>-388844.58480876591</v>
      </c>
      <c r="AF70" s="174">
        <f t="shared" si="20"/>
        <v>-399696.71368620649</v>
      </c>
      <c r="AG70" s="174">
        <f t="shared" si="20"/>
        <v>-411058.89262088673</v>
      </c>
      <c r="AH70" s="174">
        <f t="shared" si="20"/>
        <v>-422955.09396549698</v>
      </c>
      <c r="AI70" s="174">
        <f t="shared" si="20"/>
        <v>-435410.41677330388</v>
      </c>
      <c r="AJ70" s="174">
        <f t="shared" si="20"/>
        <v>-448451.13975307776</v>
      </c>
      <c r="AK70" s="174">
        <f t="shared" si="20"/>
        <v>-462104.77671290096</v>
      </c>
    </row>
    <row r="71" spans="1:37" x14ac:dyDescent="0.2">
      <c r="A71" s="175" t="s">
        <v>227</v>
      </c>
      <c r="B71" s="167">
        <f t="shared" ref="B71:AK71" si="21">-B70*$B$36</f>
        <v>0</v>
      </c>
      <c r="C71" s="167">
        <f t="shared" si="21"/>
        <v>44352.26969415963</v>
      </c>
      <c r="D71" s="167">
        <f t="shared" si="21"/>
        <v>44952.113048070845</v>
      </c>
      <c r="E71" s="167">
        <f t="shared" si="21"/>
        <v>45580.149039615892</v>
      </c>
      <c r="F71" s="167">
        <f t="shared" si="21"/>
        <v>46237.702722763548</v>
      </c>
      <c r="G71" s="167">
        <f t="shared" si="21"/>
        <v>46926.16142901915</v>
      </c>
      <c r="H71" s="167">
        <f t="shared" si="21"/>
        <v>47646.977694468762</v>
      </c>
      <c r="I71" s="167">
        <f t="shared" si="21"/>
        <v>48401.672324394509</v>
      </c>
      <c r="J71" s="167">
        <f t="shared" si="21"/>
        <v>49191.83760192676</v>
      </c>
      <c r="K71" s="167">
        <f t="shared" si="21"/>
        <v>50019.140647503031</v>
      </c>
      <c r="L71" s="167">
        <f t="shared" si="21"/>
        <v>50885.32693622139</v>
      </c>
      <c r="M71" s="167">
        <f t="shared" si="21"/>
        <v>51792.223980509501</v>
      </c>
      <c r="N71" s="167">
        <f t="shared" si="21"/>
        <v>52741.745185879168</v>
      </c>
      <c r="O71" s="167">
        <f t="shared" si="21"/>
        <v>53735.893887901206</v>
      </c>
      <c r="P71" s="167">
        <f t="shared" si="21"/>
        <v>54776.767578918269</v>
      </c>
      <c r="Q71" s="167">
        <f t="shared" si="21"/>
        <v>55866.562333413145</v>
      </c>
      <c r="R71" s="167">
        <f t="shared" si="21"/>
        <v>57007.577441369278</v>
      </c>
      <c r="S71" s="167">
        <f t="shared" si="21"/>
        <v>58202.220259399342</v>
      </c>
      <c r="T71" s="167">
        <f t="shared" si="21"/>
        <v>59453.01128987682</v>
      </c>
      <c r="U71" s="167">
        <f t="shared" si="21"/>
        <v>60762.58949878675</v>
      </c>
      <c r="V71" s="167">
        <f t="shared" si="21"/>
        <v>62133.717883515441</v>
      </c>
      <c r="W71" s="167">
        <f t="shared" si="21"/>
        <v>63569.289302326382</v>
      </c>
      <c r="X71" s="167">
        <f t="shared" si="21"/>
        <v>65072.332577821428</v>
      </c>
      <c r="Y71" s="167">
        <f t="shared" si="21"/>
        <v>66646.018887264756</v>
      </c>
      <c r="Z71" s="167">
        <f t="shared" si="21"/>
        <v>68293.668453251914</v>
      </c>
      <c r="AA71" s="167">
        <f t="shared" si="21"/>
        <v>70018.757548840469</v>
      </c>
      <c r="AB71" s="167">
        <f t="shared" si="21"/>
        <v>71824.925831921675</v>
      </c>
      <c r="AC71" s="167">
        <f t="shared" si="21"/>
        <v>73715.984024307705</v>
      </c>
      <c r="AD71" s="167">
        <f t="shared" si="21"/>
        <v>75695.921951735887</v>
      </c>
      <c r="AE71" s="167">
        <f t="shared" si="21"/>
        <v>77768.916961753188</v>
      </c>
      <c r="AF71" s="167">
        <f t="shared" si="21"/>
        <v>79939.342737241299</v>
      </c>
      <c r="AG71" s="167">
        <f t="shared" si="21"/>
        <v>82211.778524177353</v>
      </c>
      <c r="AH71" s="167">
        <f t="shared" si="21"/>
        <v>84591.0187930994</v>
      </c>
      <c r="AI71" s="167">
        <f t="shared" si="21"/>
        <v>87082.083354660776</v>
      </c>
      <c r="AJ71" s="167">
        <f t="shared" si="21"/>
        <v>89690.227950615561</v>
      </c>
      <c r="AK71" s="167">
        <f t="shared" si="21"/>
        <v>92420.955342580201</v>
      </c>
    </row>
    <row r="72" spans="1:37" ht="15" thickBot="1" x14ac:dyDescent="0.25">
      <c r="A72" s="178" t="s">
        <v>231</v>
      </c>
      <c r="B72" s="179">
        <f t="shared" ref="B72:AK72" si="22">B70+B71</f>
        <v>0</v>
      </c>
      <c r="C72" s="179">
        <f t="shared" si="22"/>
        <v>-177409.07877663852</v>
      </c>
      <c r="D72" s="179">
        <f t="shared" si="22"/>
        <v>-179808.45219228338</v>
      </c>
      <c r="E72" s="179">
        <f t="shared" si="22"/>
        <v>-182320.59615846357</v>
      </c>
      <c r="F72" s="179">
        <f t="shared" si="22"/>
        <v>-184950.81089105416</v>
      </c>
      <c r="G72" s="179">
        <f t="shared" si="22"/>
        <v>-187704.64571607657</v>
      </c>
      <c r="H72" s="179">
        <f t="shared" si="22"/>
        <v>-190587.91077787505</v>
      </c>
      <c r="I72" s="179">
        <f t="shared" si="22"/>
        <v>-193606.68929757801</v>
      </c>
      <c r="J72" s="179">
        <f t="shared" si="22"/>
        <v>-196767.35040770704</v>
      </c>
      <c r="K72" s="179">
        <f t="shared" si="22"/>
        <v>-200076.56259001212</v>
      </c>
      <c r="L72" s="179">
        <f t="shared" si="22"/>
        <v>-203541.30774488553</v>
      </c>
      <c r="M72" s="179">
        <f t="shared" si="22"/>
        <v>-207168.89592203801</v>
      </c>
      <c r="N72" s="179">
        <f t="shared" si="22"/>
        <v>-210966.98074351664</v>
      </c>
      <c r="O72" s="179">
        <f t="shared" si="22"/>
        <v>-214943.57555160479</v>
      </c>
      <c r="P72" s="179">
        <f t="shared" si="22"/>
        <v>-219107.07031567307</v>
      </c>
      <c r="Q72" s="179">
        <f t="shared" si="22"/>
        <v>-223466.24933365258</v>
      </c>
      <c r="R72" s="179">
        <f t="shared" si="22"/>
        <v>-228030.30976547711</v>
      </c>
      <c r="S72" s="179">
        <f t="shared" si="22"/>
        <v>-232808.88103759737</v>
      </c>
      <c r="T72" s="179">
        <f t="shared" si="22"/>
        <v>-237812.04515950725</v>
      </c>
      <c r="U72" s="179">
        <f t="shared" si="22"/>
        <v>-243050.35799514697</v>
      </c>
      <c r="V72" s="179">
        <f t="shared" si="22"/>
        <v>-248534.87153406176</v>
      </c>
      <c r="W72" s="179">
        <f t="shared" si="22"/>
        <v>-254277.1572093055</v>
      </c>
      <c r="X72" s="179">
        <f t="shared" si="22"/>
        <v>-260289.33031128571</v>
      </c>
      <c r="Y72" s="179">
        <f t="shared" si="22"/>
        <v>-266584.07554905897</v>
      </c>
      <c r="Z72" s="179">
        <f t="shared" si="22"/>
        <v>-273174.67381300766</v>
      </c>
      <c r="AA72" s="179">
        <f t="shared" si="22"/>
        <v>-280075.03019536182</v>
      </c>
      <c r="AB72" s="179">
        <f t="shared" si="22"/>
        <v>-287299.7033276867</v>
      </c>
      <c r="AC72" s="179">
        <f t="shared" si="22"/>
        <v>-294863.93609723082</v>
      </c>
      <c r="AD72" s="179">
        <f t="shared" si="22"/>
        <v>-302783.68780694355</v>
      </c>
      <c r="AE72" s="179">
        <f t="shared" si="22"/>
        <v>-311075.66784701275</v>
      </c>
      <c r="AF72" s="179">
        <f t="shared" si="22"/>
        <v>-319757.3709489652</v>
      </c>
      <c r="AG72" s="179">
        <f t="shared" si="22"/>
        <v>-328847.11409670941</v>
      </c>
      <c r="AH72" s="179">
        <f t="shared" si="22"/>
        <v>-338364.0751723976</v>
      </c>
      <c r="AI72" s="179">
        <f t="shared" si="22"/>
        <v>-348328.3334186431</v>
      </c>
      <c r="AJ72" s="179">
        <f t="shared" si="22"/>
        <v>-358760.91180246219</v>
      </c>
      <c r="AK72" s="179">
        <f t="shared" si="22"/>
        <v>-369683.82137032074</v>
      </c>
    </row>
    <row r="73" spans="1:37" s="189" customFormat="1" ht="16.5" thickBot="1" x14ac:dyDescent="0.25">
      <c r="A73" s="377"/>
      <c r="B73" s="378">
        <f>D134</f>
        <v>1.5</v>
      </c>
      <c r="C73" s="378">
        <f t="shared" ref="C73:AI73" si="23">E134</f>
        <v>2.5</v>
      </c>
      <c r="D73" s="378">
        <f t="shared" si="23"/>
        <v>3.5</v>
      </c>
      <c r="E73" s="378">
        <f t="shared" si="23"/>
        <v>4.5</v>
      </c>
      <c r="F73" s="378">
        <f t="shared" si="23"/>
        <v>5.5</v>
      </c>
      <c r="G73" s="378">
        <f t="shared" si="23"/>
        <v>6.5</v>
      </c>
      <c r="H73" s="378">
        <f t="shared" si="23"/>
        <v>7.5</v>
      </c>
      <c r="I73" s="378">
        <f t="shared" si="23"/>
        <v>8.5</v>
      </c>
      <c r="J73" s="378">
        <f t="shared" si="23"/>
        <v>9.5</v>
      </c>
      <c r="K73" s="378">
        <f t="shared" si="23"/>
        <v>10.5</v>
      </c>
      <c r="L73" s="378">
        <f t="shared" si="23"/>
        <v>11.5</v>
      </c>
      <c r="M73" s="378">
        <f t="shared" si="23"/>
        <v>12.5</v>
      </c>
      <c r="N73" s="378">
        <f t="shared" si="23"/>
        <v>13.5</v>
      </c>
      <c r="O73" s="378">
        <f t="shared" si="23"/>
        <v>14.5</v>
      </c>
      <c r="P73" s="378">
        <f t="shared" si="23"/>
        <v>15.5</v>
      </c>
      <c r="Q73" s="378">
        <f t="shared" si="23"/>
        <v>16.5</v>
      </c>
      <c r="R73" s="378">
        <f t="shared" si="23"/>
        <v>17.5</v>
      </c>
      <c r="S73" s="378">
        <f t="shared" si="23"/>
        <v>18.5</v>
      </c>
      <c r="T73" s="378">
        <f t="shared" si="23"/>
        <v>19.5</v>
      </c>
      <c r="U73" s="378">
        <f t="shared" si="23"/>
        <v>20.5</v>
      </c>
      <c r="V73" s="378">
        <f t="shared" si="23"/>
        <v>21.5</v>
      </c>
      <c r="W73" s="378">
        <f t="shared" si="23"/>
        <v>22.5</v>
      </c>
      <c r="X73" s="378">
        <f t="shared" si="23"/>
        <v>23.5</v>
      </c>
      <c r="Y73" s="378">
        <f t="shared" si="23"/>
        <v>24.5</v>
      </c>
      <c r="Z73" s="378">
        <f t="shared" si="23"/>
        <v>25.5</v>
      </c>
      <c r="AA73" s="378">
        <f t="shared" si="23"/>
        <v>26.5</v>
      </c>
      <c r="AB73" s="378">
        <f t="shared" si="23"/>
        <v>27.5</v>
      </c>
      <c r="AC73" s="378">
        <f t="shared" si="23"/>
        <v>28.5</v>
      </c>
      <c r="AD73" s="378">
        <f t="shared" si="23"/>
        <v>29.5</v>
      </c>
      <c r="AE73" s="378">
        <f t="shared" si="23"/>
        <v>30.5</v>
      </c>
      <c r="AF73" s="378">
        <f t="shared" si="23"/>
        <v>31.5</v>
      </c>
      <c r="AG73" s="378">
        <f t="shared" si="23"/>
        <v>32.5</v>
      </c>
      <c r="AH73" s="378">
        <f t="shared" si="23"/>
        <v>33.5</v>
      </c>
      <c r="AI73" s="378">
        <f t="shared" si="23"/>
        <v>34.5</v>
      </c>
      <c r="AJ73" s="378">
        <f t="shared" ref="AJ73" si="24">AL134</f>
        <v>35.5</v>
      </c>
      <c r="AK73" s="378">
        <f t="shared" ref="AK73" si="25">AM134</f>
        <v>36.5</v>
      </c>
    </row>
    <row r="74" spans="1:37" x14ac:dyDescent="0.2">
      <c r="A74" s="164" t="s">
        <v>230</v>
      </c>
      <c r="B74" s="165">
        <f t="shared" ref="B74:AK74" si="26">B58</f>
        <v>1</v>
      </c>
      <c r="C74" s="165">
        <f t="shared" si="26"/>
        <v>2</v>
      </c>
      <c r="D74" s="165">
        <f t="shared" si="26"/>
        <v>3</v>
      </c>
      <c r="E74" s="165">
        <f t="shared" si="26"/>
        <v>4</v>
      </c>
      <c r="F74" s="165">
        <f t="shared" si="26"/>
        <v>5</v>
      </c>
      <c r="G74" s="165">
        <f t="shared" si="26"/>
        <v>6</v>
      </c>
      <c r="H74" s="165">
        <f t="shared" si="26"/>
        <v>7</v>
      </c>
      <c r="I74" s="165">
        <f t="shared" si="26"/>
        <v>8</v>
      </c>
      <c r="J74" s="165">
        <f t="shared" si="26"/>
        <v>9</v>
      </c>
      <c r="K74" s="165">
        <f t="shared" si="26"/>
        <v>10</v>
      </c>
      <c r="L74" s="165">
        <f t="shared" si="26"/>
        <v>11</v>
      </c>
      <c r="M74" s="165">
        <f t="shared" si="26"/>
        <v>12</v>
      </c>
      <c r="N74" s="165">
        <f t="shared" si="26"/>
        <v>13</v>
      </c>
      <c r="O74" s="165">
        <f t="shared" si="26"/>
        <v>14</v>
      </c>
      <c r="P74" s="165">
        <f t="shared" si="26"/>
        <v>15</v>
      </c>
      <c r="Q74" s="165">
        <f t="shared" si="26"/>
        <v>16</v>
      </c>
      <c r="R74" s="165">
        <f t="shared" si="26"/>
        <v>17</v>
      </c>
      <c r="S74" s="165">
        <f t="shared" si="26"/>
        <v>18</v>
      </c>
      <c r="T74" s="165">
        <f t="shared" si="26"/>
        <v>19</v>
      </c>
      <c r="U74" s="165">
        <f t="shared" si="26"/>
        <v>20</v>
      </c>
      <c r="V74" s="165">
        <f t="shared" si="26"/>
        <v>21</v>
      </c>
      <c r="W74" s="165">
        <f t="shared" si="26"/>
        <v>22</v>
      </c>
      <c r="X74" s="165">
        <f t="shared" si="26"/>
        <v>23</v>
      </c>
      <c r="Y74" s="165">
        <f t="shared" si="26"/>
        <v>24</v>
      </c>
      <c r="Z74" s="165">
        <f t="shared" si="26"/>
        <v>25</v>
      </c>
      <c r="AA74" s="165">
        <f t="shared" si="26"/>
        <v>26</v>
      </c>
      <c r="AB74" s="165">
        <f t="shared" si="26"/>
        <v>27</v>
      </c>
      <c r="AC74" s="165">
        <f t="shared" si="26"/>
        <v>28</v>
      </c>
      <c r="AD74" s="165">
        <f t="shared" si="26"/>
        <v>29</v>
      </c>
      <c r="AE74" s="165">
        <f t="shared" si="26"/>
        <v>30</v>
      </c>
      <c r="AF74" s="165">
        <f t="shared" si="26"/>
        <v>31</v>
      </c>
      <c r="AG74" s="165">
        <f t="shared" si="26"/>
        <v>32</v>
      </c>
      <c r="AH74" s="165">
        <f t="shared" si="26"/>
        <v>33</v>
      </c>
      <c r="AI74" s="165">
        <f t="shared" si="26"/>
        <v>34</v>
      </c>
      <c r="AJ74" s="165">
        <f t="shared" si="26"/>
        <v>35</v>
      </c>
      <c r="AK74" s="165">
        <f t="shared" si="26"/>
        <v>36</v>
      </c>
    </row>
    <row r="75" spans="1:37" ht="28.5" x14ac:dyDescent="0.2">
      <c r="A75" s="173" t="s">
        <v>421</v>
      </c>
      <c r="B75" s="174">
        <f t="shared" ref="B75:AK75" si="27">B68</f>
        <v>0</v>
      </c>
      <c r="C75" s="174">
        <f t="shared" si="27"/>
        <v>-221761.34847079814</v>
      </c>
      <c r="D75" s="174">
        <f>D68</f>
        <v>-224760.56524035422</v>
      </c>
      <c r="E75" s="174">
        <f t="shared" si="27"/>
        <v>-227900.74519807944</v>
      </c>
      <c r="F75" s="174">
        <f t="shared" si="27"/>
        <v>-231188.51361381772</v>
      </c>
      <c r="G75" s="174">
        <f t="shared" si="27"/>
        <v>-234630.80714509572</v>
      </c>
      <c r="H75" s="174">
        <f t="shared" si="27"/>
        <v>-238234.8884723438</v>
      </c>
      <c r="I75" s="174">
        <f t="shared" si="27"/>
        <v>-242008.36162197252</v>
      </c>
      <c r="J75" s="174">
        <f t="shared" si="27"/>
        <v>-245959.1880096338</v>
      </c>
      <c r="K75" s="174">
        <f t="shared" si="27"/>
        <v>-250095.70323751515</v>
      </c>
      <c r="L75" s="174">
        <f t="shared" si="27"/>
        <v>-254426.63468110692</v>
      </c>
      <c r="M75" s="174">
        <f t="shared" si="27"/>
        <v>-258961.11990254751</v>
      </c>
      <c r="N75" s="174">
        <f t="shared" si="27"/>
        <v>-263708.72592939582</v>
      </c>
      <c r="O75" s="174">
        <f t="shared" si="27"/>
        <v>-268679.46943950601</v>
      </c>
      <c r="P75" s="174">
        <f t="shared" si="27"/>
        <v>-273883.83789459133</v>
      </c>
      <c r="Q75" s="174">
        <f t="shared" si="27"/>
        <v>-279332.81166706572</v>
      </c>
      <c r="R75" s="174">
        <f t="shared" si="27"/>
        <v>-285037.88720684638</v>
      </c>
      <c r="S75" s="174">
        <f t="shared" si="27"/>
        <v>-291011.1012969967</v>
      </c>
      <c r="T75" s="174">
        <f t="shared" si="27"/>
        <v>-297265.05644938408</v>
      </c>
      <c r="U75" s="174">
        <f t="shared" si="27"/>
        <v>-303812.94749393372</v>
      </c>
      <c r="V75" s="174">
        <f t="shared" si="27"/>
        <v>-310668.5894175772</v>
      </c>
      <c r="W75" s="174">
        <f t="shared" si="27"/>
        <v>-317846.44651163189</v>
      </c>
      <c r="X75" s="174">
        <f t="shared" si="27"/>
        <v>-325361.66288910713</v>
      </c>
      <c r="Y75" s="174">
        <f t="shared" si="27"/>
        <v>-333230.09443632374</v>
      </c>
      <c r="Z75" s="174">
        <f t="shared" si="27"/>
        <v>-341468.34226625954</v>
      </c>
      <c r="AA75" s="174">
        <f t="shared" si="27"/>
        <v>-350093.7877442023</v>
      </c>
      <c r="AB75" s="174">
        <f t="shared" si="27"/>
        <v>-359124.62915960839</v>
      </c>
      <c r="AC75" s="174">
        <f t="shared" si="27"/>
        <v>-368579.92012153851</v>
      </c>
      <c r="AD75" s="174">
        <f t="shared" si="27"/>
        <v>-378479.60975867941</v>
      </c>
      <c r="AE75" s="174">
        <f t="shared" si="27"/>
        <v>-388844.58480876591</v>
      </c>
      <c r="AF75" s="174">
        <f t="shared" si="27"/>
        <v>-399696.71368620649</v>
      </c>
      <c r="AG75" s="174">
        <f t="shared" si="27"/>
        <v>-411058.89262088673</v>
      </c>
      <c r="AH75" s="174">
        <f t="shared" si="27"/>
        <v>-422955.09396549698</v>
      </c>
      <c r="AI75" s="174">
        <f t="shared" si="27"/>
        <v>-435410.41677330388</v>
      </c>
      <c r="AJ75" s="174">
        <f t="shared" si="27"/>
        <v>-448451.13975307776</v>
      </c>
      <c r="AK75" s="174">
        <f t="shared" si="27"/>
        <v>-462104.77671290096</v>
      </c>
    </row>
    <row r="76" spans="1:37" x14ac:dyDescent="0.2">
      <c r="A76" s="175" t="s">
        <v>229</v>
      </c>
      <c r="B76" s="167">
        <f t="shared" ref="B76:AK76" si="28">-B67</f>
        <v>0</v>
      </c>
      <c r="C76" s="167">
        <f>-C67</f>
        <v>157948.22571428571</v>
      </c>
      <c r="D76" s="167">
        <f t="shared" si="28"/>
        <v>157948.22571428571</v>
      </c>
      <c r="E76" s="167">
        <f t="shared" si="28"/>
        <v>157948.22571428571</v>
      </c>
      <c r="F76" s="167">
        <f>-C67</f>
        <v>157948.22571428571</v>
      </c>
      <c r="G76" s="167">
        <f t="shared" si="28"/>
        <v>157948.22571428571</v>
      </c>
      <c r="H76" s="167">
        <f t="shared" si="28"/>
        <v>157948.22571428571</v>
      </c>
      <c r="I76" s="167">
        <f t="shared" si="28"/>
        <v>157948.22571428571</v>
      </c>
      <c r="J76" s="167">
        <f t="shared" si="28"/>
        <v>157948.22571428571</v>
      </c>
      <c r="K76" s="167">
        <f t="shared" si="28"/>
        <v>157948.22571428571</v>
      </c>
      <c r="L76" s="167">
        <f>-L67</f>
        <v>157948.22571428571</v>
      </c>
      <c r="M76" s="167">
        <f>-M67</f>
        <v>157948.22571428571</v>
      </c>
      <c r="N76" s="167">
        <f t="shared" si="28"/>
        <v>157948.22571428571</v>
      </c>
      <c r="O76" s="167">
        <f t="shared" si="28"/>
        <v>157948.22571428571</v>
      </c>
      <c r="P76" s="167">
        <f t="shared" si="28"/>
        <v>157948.22571428571</v>
      </c>
      <c r="Q76" s="167">
        <f t="shared" si="28"/>
        <v>157948.22571428571</v>
      </c>
      <c r="R76" s="167">
        <f t="shared" si="28"/>
        <v>157948.22571428571</v>
      </c>
      <c r="S76" s="167">
        <f t="shared" si="28"/>
        <v>157948.22571428571</v>
      </c>
      <c r="T76" s="167">
        <f t="shared" si="28"/>
        <v>157948.22571428571</v>
      </c>
      <c r="U76" s="167">
        <f t="shared" si="28"/>
        <v>157948.22571428571</v>
      </c>
      <c r="V76" s="167">
        <f t="shared" si="28"/>
        <v>157948.22571428571</v>
      </c>
      <c r="W76" s="167">
        <f t="shared" si="28"/>
        <v>157948.22571428571</v>
      </c>
      <c r="X76" s="167">
        <f t="shared" si="28"/>
        <v>157948.22571428571</v>
      </c>
      <c r="Y76" s="167">
        <f t="shared" si="28"/>
        <v>157948.22571428571</v>
      </c>
      <c r="Z76" s="167">
        <f t="shared" si="28"/>
        <v>157948.22571428571</v>
      </c>
      <c r="AA76" s="167">
        <f t="shared" si="28"/>
        <v>157948.22571428571</v>
      </c>
      <c r="AB76" s="167">
        <f t="shared" si="28"/>
        <v>157948.22571428571</v>
      </c>
      <c r="AC76" s="167">
        <f t="shared" si="28"/>
        <v>157948.22571428571</v>
      </c>
      <c r="AD76" s="167">
        <f t="shared" si="28"/>
        <v>157948.22571428571</v>
      </c>
      <c r="AE76" s="167">
        <f t="shared" si="28"/>
        <v>157948.22571428571</v>
      </c>
      <c r="AF76" s="167">
        <f t="shared" si="28"/>
        <v>157948.22571428571</v>
      </c>
      <c r="AG76" s="167">
        <f t="shared" si="28"/>
        <v>157948.22571428571</v>
      </c>
      <c r="AH76" s="167">
        <f t="shared" si="28"/>
        <v>157948.22571428571</v>
      </c>
      <c r="AI76" s="167">
        <f t="shared" si="28"/>
        <v>157948.22571428571</v>
      </c>
      <c r="AJ76" s="167">
        <f t="shared" si="28"/>
        <v>157948.22571428571</v>
      </c>
      <c r="AK76" s="167">
        <f t="shared" si="28"/>
        <v>157948.22571428571</v>
      </c>
    </row>
    <row r="77" spans="1:37" x14ac:dyDescent="0.2">
      <c r="A77" s="175" t="s">
        <v>228</v>
      </c>
      <c r="B77" s="167">
        <f t="shared" ref="B77:AK77" si="29">B69</f>
        <v>0</v>
      </c>
      <c r="C77" s="167">
        <f t="shared" si="29"/>
        <v>0</v>
      </c>
      <c r="D77" s="167">
        <f t="shared" si="29"/>
        <v>0</v>
      </c>
      <c r="E77" s="167">
        <f t="shared" si="29"/>
        <v>0</v>
      </c>
      <c r="F77" s="167">
        <f t="shared" si="29"/>
        <v>0</v>
      </c>
      <c r="G77" s="167">
        <f t="shared" si="29"/>
        <v>0</v>
      </c>
      <c r="H77" s="167">
        <f t="shared" si="29"/>
        <v>0</v>
      </c>
      <c r="I77" s="167">
        <f t="shared" si="29"/>
        <v>0</v>
      </c>
      <c r="J77" s="167">
        <f t="shared" si="29"/>
        <v>0</v>
      </c>
      <c r="K77" s="167">
        <f t="shared" si="29"/>
        <v>0</v>
      </c>
      <c r="L77" s="167">
        <f t="shared" si="29"/>
        <v>0</v>
      </c>
      <c r="M77" s="167">
        <f t="shared" si="29"/>
        <v>0</v>
      </c>
      <c r="N77" s="167">
        <f t="shared" si="29"/>
        <v>0</v>
      </c>
      <c r="O77" s="167">
        <f t="shared" si="29"/>
        <v>0</v>
      </c>
      <c r="P77" s="167">
        <f t="shared" si="29"/>
        <v>0</v>
      </c>
      <c r="Q77" s="167">
        <f t="shared" si="29"/>
        <v>0</v>
      </c>
      <c r="R77" s="167">
        <f t="shared" si="29"/>
        <v>0</v>
      </c>
      <c r="S77" s="167">
        <f t="shared" si="29"/>
        <v>0</v>
      </c>
      <c r="T77" s="167">
        <f t="shared" si="29"/>
        <v>0</v>
      </c>
      <c r="U77" s="167">
        <f t="shared" si="29"/>
        <v>0</v>
      </c>
      <c r="V77" s="167">
        <f t="shared" si="29"/>
        <v>0</v>
      </c>
      <c r="W77" s="167">
        <f t="shared" si="29"/>
        <v>0</v>
      </c>
      <c r="X77" s="167">
        <f t="shared" si="29"/>
        <v>0</v>
      </c>
      <c r="Y77" s="167">
        <f t="shared" si="29"/>
        <v>0</v>
      </c>
      <c r="Z77" s="167">
        <f t="shared" si="29"/>
        <v>0</v>
      </c>
      <c r="AA77" s="167">
        <f t="shared" si="29"/>
        <v>0</v>
      </c>
      <c r="AB77" s="167">
        <f t="shared" si="29"/>
        <v>0</v>
      </c>
      <c r="AC77" s="167">
        <f t="shared" si="29"/>
        <v>0</v>
      </c>
      <c r="AD77" s="167">
        <f t="shared" si="29"/>
        <v>0</v>
      </c>
      <c r="AE77" s="167">
        <f t="shared" si="29"/>
        <v>0</v>
      </c>
      <c r="AF77" s="167">
        <f t="shared" si="29"/>
        <v>0</v>
      </c>
      <c r="AG77" s="167">
        <f t="shared" si="29"/>
        <v>0</v>
      </c>
      <c r="AH77" s="167">
        <f t="shared" si="29"/>
        <v>0</v>
      </c>
      <c r="AI77" s="167">
        <f t="shared" si="29"/>
        <v>0</v>
      </c>
      <c r="AJ77" s="167">
        <f t="shared" si="29"/>
        <v>0</v>
      </c>
      <c r="AK77" s="167">
        <f t="shared" si="29"/>
        <v>0</v>
      </c>
    </row>
    <row r="78" spans="1:37" x14ac:dyDescent="0.2">
      <c r="A78" s="175" t="s">
        <v>227</v>
      </c>
      <c r="B78" s="167">
        <f>IF(SUM($B$71:B71)+SUM($A$78:A78)&gt;0,0,SUM($B$71:B71)-SUM($A$78:A78))</f>
        <v>0</v>
      </c>
      <c r="C78" s="167">
        <f>IF(SUM($B$71:C71)+SUM($A$78:B78)&gt;0,0,SUM($B$71:C71)-SUM($A$78:B78))</f>
        <v>0</v>
      </c>
      <c r="D78" s="167">
        <f>IF(SUM($B$71:D71)+SUM($A$78:C78)&gt;0,0,SUM($B$71:D71)-SUM($A$78:C78))</f>
        <v>0</v>
      </c>
      <c r="E78" s="167">
        <f>IF(SUM($B$71:E71)+SUM($A$78:D78)&gt;0,0,SUM($B$71:E71)-SUM($A$78:D78))</f>
        <v>0</v>
      </c>
      <c r="F78" s="167">
        <f>IF(SUM($B$71:F71)+SUM($A$78:E78)&gt;0,0,SUM($B$71:F71)-SUM($A$78:E78))</f>
        <v>0</v>
      </c>
      <c r="G78" s="167">
        <f>IF(SUM($B$71:G71)+SUM($A$78:F78)&gt;0,0,SUM($B$71:G71)-SUM($A$78:F78))</f>
        <v>0</v>
      </c>
      <c r="H78" s="167">
        <f>IF(SUM($B$71:H71)+SUM($A$78:G78)&gt;0,0,SUM($B$71:H71)-SUM($A$78:G78))</f>
        <v>0</v>
      </c>
      <c r="I78" s="167">
        <f>IF(SUM($B$71:I71)+SUM($A$78:H78)&gt;0,0,SUM($B$71:I71)-SUM($A$78:H78))</f>
        <v>0</v>
      </c>
      <c r="J78" s="167">
        <f>IF(SUM($B$71:J71)+SUM($A$78:I78)&gt;0,0,SUM($B$71:J71)-SUM($A$78:I78))</f>
        <v>0</v>
      </c>
      <c r="K78" s="167">
        <f>IF(SUM($B$71:K71)+SUM($A$78:J78)&gt;0,0,SUM($B$71:K71)-SUM($A$78:J78))</f>
        <v>0</v>
      </c>
      <c r="L78" s="167">
        <f>IF(SUM($B$71:L71)+SUM($A$78:K78)&gt;0,0,SUM($B$71:L71)-SUM($A$78:K78))</f>
        <v>0</v>
      </c>
      <c r="M78" s="167">
        <f>IF(SUM($B$71:M71)+SUM($A$78:L78)&gt;0,0,SUM($B$71:M71)-SUM($A$78:L78))</f>
        <v>0</v>
      </c>
      <c r="N78" s="167">
        <f>IF(SUM($B$71:N71)+SUM($A$78:M78)&gt;0,0,SUM($B$71:N71)-SUM($A$78:M78))</f>
        <v>0</v>
      </c>
      <c r="O78" s="167">
        <f>IF(SUM($B$71:O71)+SUM($A$78:N78)&gt;0,0,SUM($B$71:O71)-SUM($A$78:N78))</f>
        <v>0</v>
      </c>
      <c r="P78" s="167">
        <f>IF(SUM($B$71:P71)+SUM($A$78:O78)&gt;0,0,SUM($B$71:P71)-SUM($A$78:O78))</f>
        <v>0</v>
      </c>
      <c r="Q78" s="167">
        <f>IF(SUM($B$71:Q71)+SUM($A$78:P78)&gt;0,0,SUM($B$71:Q71)-SUM($A$78:P78))</f>
        <v>0</v>
      </c>
      <c r="R78" s="167">
        <f>IF(SUM($B$71:R71)+SUM($A$78:Q78)&gt;0,0,SUM($B$71:R71)-SUM($A$78:Q78))</f>
        <v>0</v>
      </c>
      <c r="S78" s="167">
        <f>IF(SUM($B$71:S71)+SUM($A$78:R78)&gt;0,0,SUM($B$71:S71)-SUM($A$78:R78))</f>
        <v>0</v>
      </c>
      <c r="T78" s="167">
        <f>IF(SUM($B$71:T71)+SUM($A$78:S78)&gt;0,0,SUM($B$71:T71)-SUM($A$78:S78))</f>
        <v>0</v>
      </c>
      <c r="U78" s="167">
        <f>IF(SUM($B$71:U71)+SUM($A$78:T78)&gt;0,0,SUM($B$71:U71)-SUM($A$78:T78))</f>
        <v>0</v>
      </c>
      <c r="V78" s="167">
        <f>IF(SUM($B$71:V71)+SUM($A$78:U78)&gt;0,0,SUM($B$71:V71)-SUM($A$78:U78))</f>
        <v>0</v>
      </c>
      <c r="W78" s="167">
        <f>IF(SUM($B$71:W71)+SUM($A$78:V78)&gt;0,0,SUM($B$71:W71)-SUM($A$78:V78))</f>
        <v>0</v>
      </c>
      <c r="X78" s="167">
        <f>IF(SUM($B$71:X71)+SUM($A$78:W78)&gt;0,0,SUM($B$71:X71)-SUM($A$78:W78))</f>
        <v>0</v>
      </c>
      <c r="Y78" s="167">
        <f>IF(SUM($B$71:Y71)+SUM($A$78:X78)&gt;0,0,SUM($B$71:Y71)-SUM($A$78:X78))</f>
        <v>0</v>
      </c>
      <c r="Z78" s="167">
        <f>IF(SUM($B$71:Z71)+SUM($A$78:Y78)&gt;0,0,SUM($B$71:Z71)-SUM($A$78:Y78))</f>
        <v>0</v>
      </c>
      <c r="AA78" s="167">
        <f>IF(SUM($B$71:AA71)+SUM($A$78:Z78)&gt;0,0,SUM($B$71:AA71)-SUM($A$78:Z78))</f>
        <v>0</v>
      </c>
      <c r="AB78" s="167">
        <f>IF(SUM($B$71:AB71)+SUM($A$78:AA78)&gt;0,0,SUM($B$71:AB71)-SUM($A$78:AA78))</f>
        <v>0</v>
      </c>
      <c r="AC78" s="167">
        <f>IF(SUM($B$71:AC71)+SUM($A$78:AB78)&gt;0,0,SUM($B$71:AC71)-SUM($A$78:AB78))</f>
        <v>0</v>
      </c>
      <c r="AD78" s="167">
        <f>IF(SUM($B$71:AD71)+SUM($A$78:AC78)&gt;0,0,SUM($B$71:AD71)-SUM($A$78:AC78))</f>
        <v>0</v>
      </c>
      <c r="AE78" s="167">
        <f>IF(SUM($B$71:AE71)+SUM($A$78:AD78)&gt;0,0,SUM($B$71:AE71)-SUM($A$78:AD78))</f>
        <v>0</v>
      </c>
      <c r="AF78" s="167">
        <f>IF(SUM($B$71:AF71)+SUM($A$78:AE78)&gt;0,0,SUM($B$71:AF71)-SUM($A$78:AE78))</f>
        <v>0</v>
      </c>
      <c r="AG78" s="167">
        <f>IF(SUM($B$71:AG71)+SUM($A$78:AF78)&gt;0,0,SUM($B$71:AG71)-SUM($A$78:AF78))</f>
        <v>0</v>
      </c>
      <c r="AH78" s="167">
        <f>IF(SUM($B$71:AH71)+SUM($A$78:AG78)&gt;0,0,SUM($B$71:AH71)-SUM($A$78:AG78))</f>
        <v>0</v>
      </c>
      <c r="AI78" s="167">
        <f>IF(SUM($B$71:AI71)+SUM($A$78:AH78)&gt;0,0,SUM($B$71:AI71)-SUM($A$78:AH78))</f>
        <v>0</v>
      </c>
      <c r="AJ78" s="167">
        <f>IF(SUM($B$71:AJ71)+SUM($A$78:AI78)&gt;0,0,SUM($B$71:AJ71)-SUM($A$78:AI78))</f>
        <v>0</v>
      </c>
      <c r="AK78" s="167">
        <f>IF(SUM($B$71:AK71)+SUM($A$78:AJ78)&gt;0,0,SUM($B$71:AK71)-SUM($A$78:AJ78))</f>
        <v>0</v>
      </c>
    </row>
    <row r="79" spans="1:37" x14ac:dyDescent="0.2">
      <c r="A79" s="175" t="s">
        <v>226</v>
      </c>
      <c r="B79" s="167">
        <f>IF(((SUM($B$59:B59)+SUM($B$61:B64))+SUM($B$81:B81))&lt;0,((SUM($B$59:B59)+SUM($B$61:B64))+SUM($B$81:B81))*0.2-SUM($A$79:A79),IF(SUM(A$79:$B79)&lt;0,0-SUM(A$79:$B79),0))</f>
        <v>-1105637.58</v>
      </c>
      <c r="C79" s="167">
        <f>IF(((SUM($B$59:C59)+SUM($B$61:C64))+SUM($B$81:C81))&lt;0,((SUM($B$59:C59)+SUM($B$61:C64))+SUM($B$81:C81))*0.2-SUM($A$79:B79),IF(SUM(B$79:$B79)&lt;0,0-SUM(B$79:$B79),0))</f>
        <v>-12762.624551302521</v>
      </c>
      <c r="D79" s="167">
        <f>IF(((SUM($B$59:D59)+SUM($B$61:D64))+SUM($B$81:D81))&lt;0,((SUM($B$59:D59)+SUM($B$61:D64))+SUM($B$81:D81))*0.2-SUM($A$79:C79),IF(SUM($B$79:C79)&lt;0,0-SUM($B$79:C79),0))</f>
        <v>-13362.467905213824</v>
      </c>
      <c r="E79" s="167">
        <f>IF(((SUM($B$59:E59)+SUM($B$61:E64))+SUM($B$81:E81))&lt;0,((SUM($B$59:E59)+SUM($B$61:E64))+SUM($B$81:E81))*0.2-SUM($A$79:D79),IF(SUM($B$79:D79)&lt;0,0-SUM($B$79:D79),0))</f>
        <v>-13990.503896758659</v>
      </c>
      <c r="F79" s="167">
        <f>IF(((SUM($B$59:F59)+SUM($B$61:F64))+SUM($B$81:F81))&lt;0,((SUM($B$59:F59)+SUM($B$61:F64))+SUM($B$81:F81))*0.2-SUM($A$79:E79),IF(SUM($B$79:E79)&lt;0,0-SUM($B$79:E79),0))</f>
        <v>-14648.057579906192</v>
      </c>
      <c r="G79" s="167">
        <f>IF(((SUM($B$59:G59)+SUM($B$61:G64))+SUM($B$81:G81))&lt;0,((SUM($B$59:G59)+SUM($B$61:G64))+SUM($B$81:G81))*0.2-SUM($A$79:F79),IF(SUM($B$79:F79)&lt;0,0-SUM($B$79:F79),0))</f>
        <v>-15336.516286162194</v>
      </c>
      <c r="H79" s="167">
        <f>IF(((SUM($B$59:H59)+SUM($B$61:H64))+SUM($B$81:H81))&lt;0,((SUM($B$59:H59)+SUM($B$61:H64))+SUM($B$81:H81))*0.2-SUM($A$79:G79),IF(SUM($B$79:G79)&lt;0,0-SUM($B$79:G79),0))</f>
        <v>-16057.332551611587</v>
      </c>
      <c r="I79" s="167">
        <f>IF(((SUM($B$59:I59)+SUM($B$61:I64))+SUM($B$81:I81))&lt;0,((SUM($B$59:I59)+SUM($B$61:I64))+SUM($B$81:I81))*0.2-SUM($A$79:H79),IF(SUM($B$79:H79)&lt;0,0-SUM($B$79:H79),0))</f>
        <v>-16812.027181537356</v>
      </c>
      <c r="J79" s="167">
        <f>IF(((SUM($B$59:J59)+SUM($B$61:J64))+SUM($B$81:J81))&lt;0,((SUM($B$59:J59)+SUM($B$61:J64))+SUM($B$81:J81))*0.2-SUM($A$79:I79),IF(SUM($B$79:I79)&lt;0,0-SUM($B$79:I79),0))</f>
        <v>-17602.192459069658</v>
      </c>
      <c r="K79" s="167">
        <f>IF(((SUM($B$59:K59)+SUM($B$61:K64))+SUM($B$81:K81))&lt;0,((SUM($B$59:K59)+SUM($B$61:K64))+SUM($B$81:K81))*0.2-SUM($A$79:J79),IF(SUM($B$79:J79)&lt;0,0-SUM($B$79:J79),0))</f>
        <v>-18429.495504645864</v>
      </c>
      <c r="L79" s="167">
        <f>IF(((SUM($B$59:L59)+SUM($B$61:L64))+SUM($B$81:L81))&lt;0,((SUM($B$59:L59)+SUM($B$61:L64))+SUM($B$81:L81))*0.2-SUM($A$79:K79),IF(SUM($B$79:K79)&lt;0,0-SUM($B$79:K79),0))</f>
        <v>-19295.681793364231</v>
      </c>
      <c r="M79" s="167">
        <f>IF(((SUM($B$59:M59)+SUM($B$61:M64))+SUM($B$81:M81))&lt;0,((SUM($B$59:M59)+SUM($B$61:M64))+SUM($B$81:M81))*0.2-SUM($A$79:L79),IF(SUM($B$79:L79)&lt;0,0-SUM($B$79:L79),0))</f>
        <v>-20202.578837652458</v>
      </c>
      <c r="N79" s="167">
        <f>IF(((SUM($B$59:N59)+SUM($B$61:N64))+SUM($B$81:N81))&lt;0,((SUM($B$59:N59)+SUM($B$61:N64))+SUM($B$81:N81))*0.2-SUM($A$79:M79),IF(SUM($B$79:M79)&lt;0,0-SUM($B$79:M79),0))</f>
        <v>-21152.100043022074</v>
      </c>
      <c r="O79" s="167">
        <f>IF(((SUM($B$59:O59)+SUM($B$61:O64))+SUM($B$81:O81))&lt;0,((SUM($B$59:O59)+SUM($B$61:O64))+SUM($B$81:O81))*0.2-SUM($A$79:N79),IF(SUM($B$79:N79)&lt;0,0-SUM($B$79:N79),0))</f>
        <v>-22146.248745043995</v>
      </c>
      <c r="P79" s="167">
        <f>IF(((SUM($B$59:P59)+SUM($B$61:P64))+SUM($B$81:P81))&lt;0,((SUM($B$59:P59)+SUM($B$61:P64))+SUM($B$81:P81))*0.2-SUM($A$79:O79),IF(SUM($B$79:O79)&lt;0,0-SUM($B$79:O79),0))</f>
        <v>-23187.122436061036</v>
      </c>
      <c r="Q79" s="167">
        <f>IF(((SUM($B$59:Q59)+SUM($B$61:Q64))+SUM($B$81:Q81))&lt;0,((SUM($B$59:Q59)+SUM($B$61:Q64))+SUM($B$81:Q81))*0.2-SUM($A$79:P79),IF(SUM($B$79:P79)&lt;0,0-SUM($B$79:P79),0))</f>
        <v>-24276.917190555949</v>
      </c>
      <c r="R79" s="167">
        <f>IF(((SUM($B$59:R59)+SUM($B$61:R64))+SUM($B$81:R81))&lt;0,((SUM($B$59:R59)+SUM($B$61:R64))+SUM($B$81:R81))*0.2-SUM($A$79:Q79),IF(SUM($B$79:Q79)&lt;0,0-SUM($B$79:Q79),0))</f>
        <v>-25417.932298512198</v>
      </c>
      <c r="S79" s="167">
        <f>IF(((SUM($B$59:S59)+SUM($B$61:S64))+SUM($B$81:S81))&lt;0,((SUM($B$59:S59)+SUM($B$61:S64))+SUM($B$81:S81))*0.2-SUM($A$79:R79),IF(SUM($B$79:R79)&lt;0,0-SUM($B$79:R79),0))</f>
        <v>-26612.575116542168</v>
      </c>
      <c r="T79" s="167">
        <f>IF(((SUM($B$59:T59)+SUM($B$61:T64))+SUM($B$81:T81))&lt;0,((SUM($B$59:T59)+SUM($B$61:T64))+SUM($B$81:T81))*0.2-SUM($A$79:S79),IF(SUM($B$79:S79)&lt;0,0-SUM($B$79:S79),0))</f>
        <v>-27863.3661470199</v>
      </c>
      <c r="U79" s="167">
        <f>IF(((SUM($B$59:U59)+SUM($B$61:U64))+SUM($B$81:U81))&lt;0,((SUM($B$59:U59)+SUM($B$61:U64))+SUM($B$81:U81))*0.2-SUM($A$79:T79),IF(SUM($B$79:T79)&lt;0,0-SUM($B$79:T79),0))</f>
        <v>-29172.94435592927</v>
      </c>
      <c r="V79" s="167">
        <f>IF(((SUM($B$59:V59)+SUM($B$61:V64))+SUM($B$81:V81))&lt;0,((SUM($B$59:V59)+SUM($B$61:V64))+SUM($B$81:V81))*0.2-SUM($A$79:U79),IF(SUM($B$79:U79)&lt;0,0-SUM($B$79:U79),0))</f>
        <v>-30544.072740658419</v>
      </c>
      <c r="W79" s="167">
        <f>IF(((SUM($B$59:W59)+SUM($B$61:W64))+SUM($B$81:W81))&lt;0,((SUM($B$59:W59)+SUM($B$61:W64))+SUM($B$81:W81))*0.2-SUM($A$79:V79),IF(SUM($B$79:V79)&lt;0,0-SUM($B$79:V79),0))</f>
        <v>-31979.644159469288</v>
      </c>
      <c r="X79" s="167">
        <f>IF(((SUM($B$59:X59)+SUM($B$61:X64))+SUM($B$81:X81))&lt;0,((SUM($B$59:X59)+SUM($B$61:X64))+SUM($B$81:X81))*0.2-SUM($A$79:W79),IF(SUM($B$79:W79)&lt;0,0-SUM($B$79:W79),0))</f>
        <v>-33482.687434964115</v>
      </c>
      <c r="Y79" s="167">
        <f>IF(((SUM($B$59:Y59)+SUM($B$61:Y64))+SUM($B$81:Y81))&lt;0,((SUM($B$59:Y59)+SUM($B$61:Y64))+SUM($B$81:Y81))*0.2-SUM($A$79:X79),IF(SUM($B$79:X79)&lt;0,0-SUM($B$79:X79),0))</f>
        <v>-35056.373744407669</v>
      </c>
      <c r="Z79" s="167">
        <f>IF(((SUM($B$59:Z59)+SUM($B$61:Z64))+SUM($B$81:Z81))&lt;0,((SUM($B$59:Z59)+SUM($B$61:Z64))+SUM($B$81:Z81))*0.2-SUM($A$79:Y79),IF(SUM($B$79:Y79)&lt;0,0-SUM($B$79:Y79),0))</f>
        <v>-36704.023310394725</v>
      </c>
      <c r="AA79" s="167">
        <f>IF(((SUM($B$59:AA59)+SUM($B$61:AA64))+SUM($B$81:AA81))&lt;0,((SUM($B$59:AA59)+SUM($B$61:AA64))+SUM($B$81:AA81))*0.2-SUM($A$79:Z79),IF(SUM($B$79:Z79)&lt;0,0-SUM($B$79:Z79),0))</f>
        <v>-38429.112405983265</v>
      </c>
      <c r="AB79" s="167">
        <f>IF(((SUM($B$59:AB59)+SUM($B$61:AB64))+SUM($B$81:AB81))&lt;0,((SUM($B$59:AB59)+SUM($B$61:AB64))+SUM($B$81:AB81))*0.2-SUM($A$79:AA79),IF(SUM($B$79:AA79)&lt;0,0-SUM($B$79:AA79),0))</f>
        <v>-40235.280689064413</v>
      </c>
      <c r="AC79" s="167">
        <f>IF(((SUM($B$59:AC59)+SUM($B$61:AC64))+SUM($B$81:AC81))&lt;0,((SUM($B$59:AC59)+SUM($B$61:AC64))+SUM($B$81:AC81))*0.2-SUM($A$79:AB79),IF(SUM($B$79:AB79)&lt;0,0-SUM($B$79:AB79),0))</f>
        <v>-42126.338881450938</v>
      </c>
      <c r="AD79" s="167">
        <f>IF(((SUM($B$59:AD59)+SUM($B$61:AD64))+SUM($B$81:AD81))&lt;0,((SUM($B$59:AD59)+SUM($B$61:AD64))+SUM($B$81:AD81))*0.2-SUM($A$79:AC79),IF(SUM($B$79:AC79)&lt;0,0-SUM($B$79:AC79),0))</f>
        <v>-44106.276808878873</v>
      </c>
      <c r="AE79" s="167">
        <f>IF(((SUM($B$59:AE59)+SUM($B$61:AE64))+SUM($B$81:AE81))&lt;0,((SUM($B$59:AE59)+SUM($B$61:AE64))+SUM($B$81:AE81))*0.2-SUM($A$79:AD79),IF(SUM($B$79:AD79)&lt;0,0-SUM($B$79:AD79),0))</f>
        <v>-46179.271818895591</v>
      </c>
      <c r="AF79" s="167">
        <f>IF(((SUM($B$59:AF59)+SUM($B$61:AF64))+SUM($B$81:AF81))&lt;0,((SUM($B$59:AF59)+SUM($B$61:AF64))+SUM($B$81:AF81))*0.2-SUM($A$79:AE79),IF(SUM($B$79:AE79)&lt;0,0-SUM($B$79:AE79),0))</f>
        <v>-48349.697594383964</v>
      </c>
      <c r="AG79" s="167">
        <f>IF(((SUM($B$59:AG59)+SUM($B$61:AG64))+SUM($B$81:AG81))&lt;0,((SUM($B$59:AG59)+SUM($B$61:AG64))+SUM($B$81:AG81))*0.2-SUM($A$79:AF79),IF(SUM($B$79:AF79)&lt;0,0-SUM($B$79:AF79),0))</f>
        <v>-50622.133381320629</v>
      </c>
      <c r="AH79" s="167">
        <f>IF(((SUM($B$59:AH59)+SUM($B$61:AH64))+SUM($B$81:AH81))&lt;0,((SUM($B$59:AH59)+SUM($B$61:AH64))+SUM($B$81:AH81))*0.2-SUM($A$79:AG79),IF(SUM($B$79:AG79)&lt;0,0-SUM($B$79:AG79),0))</f>
        <v>-53001.373650242109</v>
      </c>
      <c r="AI79" s="167">
        <f>IF(((SUM($B$59:AI59)+SUM($B$61:AI64))+SUM($B$81:AI81))&lt;0,((SUM($B$59:AI59)+SUM($B$61:AI64))+SUM($B$81:AI81))*0.2-SUM($A$79:AH79),IF(SUM($B$79:AH79)&lt;0,0-SUM($B$79:AH79),0))</f>
        <v>-55492.438211803325</v>
      </c>
      <c r="AJ79" s="167">
        <f>IF(((SUM($B$59:AJ59)+SUM($B$61:AJ64))+SUM($B$81:AJ81))&lt;0,((SUM($B$59:AJ59)+SUM($B$61:AJ64))+SUM($B$81:AJ81))*0.2-SUM($A$79:AI79),IF(SUM($B$79:AI79)&lt;0,0-SUM($B$79:AI79),0))</f>
        <v>-58100.582807758357</v>
      </c>
      <c r="AK79" s="167">
        <f>IF(((SUM($B$59:AK59)+SUM($B$61:AK64))+SUM($B$81:AK81))&lt;0,((SUM($B$59:AK59)+SUM($B$61:AK64))+SUM($B$81:AK81))*0.2-SUM($A$79:AJ79),IF(SUM($B$79:AJ79)&lt;0,0-SUM($B$79:AJ79),0))</f>
        <v>-60831.310199723579</v>
      </c>
    </row>
    <row r="80" spans="1:37" x14ac:dyDescent="0.2">
      <c r="A80" s="175" t="s">
        <v>225</v>
      </c>
      <c r="B80" s="167">
        <f>-B59*(B39)</f>
        <v>0</v>
      </c>
      <c r="C80" s="167">
        <f t="shared" ref="C80:AK80" si="30">-(C59-B59)*$B$39</f>
        <v>0</v>
      </c>
      <c r="D80" s="167">
        <f t="shared" si="30"/>
        <v>0</v>
      </c>
      <c r="E80" s="167">
        <f t="shared" si="30"/>
        <v>0</v>
      </c>
      <c r="F80" s="167">
        <f t="shared" si="30"/>
        <v>0</v>
      </c>
      <c r="G80" s="167">
        <f t="shared" si="30"/>
        <v>0</v>
      </c>
      <c r="H80" s="167">
        <f t="shared" si="30"/>
        <v>0</v>
      </c>
      <c r="I80" s="167">
        <f t="shared" si="30"/>
        <v>0</v>
      </c>
      <c r="J80" s="167">
        <f t="shared" si="30"/>
        <v>0</v>
      </c>
      <c r="K80" s="167">
        <f t="shared" si="30"/>
        <v>0</v>
      </c>
      <c r="L80" s="167">
        <f t="shared" si="30"/>
        <v>0</v>
      </c>
      <c r="M80" s="167">
        <f t="shared" si="30"/>
        <v>0</v>
      </c>
      <c r="N80" s="167">
        <f t="shared" si="30"/>
        <v>0</v>
      </c>
      <c r="O80" s="167">
        <f t="shared" si="30"/>
        <v>0</v>
      </c>
      <c r="P80" s="167">
        <f t="shared" si="30"/>
        <v>0</v>
      </c>
      <c r="Q80" s="167">
        <f t="shared" si="30"/>
        <v>0</v>
      </c>
      <c r="R80" s="167">
        <f t="shared" si="30"/>
        <v>0</v>
      </c>
      <c r="S80" s="167">
        <f t="shared" si="30"/>
        <v>0</v>
      </c>
      <c r="T80" s="167">
        <f t="shared" si="30"/>
        <v>0</v>
      </c>
      <c r="U80" s="167">
        <f t="shared" si="30"/>
        <v>0</v>
      </c>
      <c r="V80" s="167">
        <f t="shared" si="30"/>
        <v>0</v>
      </c>
      <c r="W80" s="167">
        <f t="shared" si="30"/>
        <v>0</v>
      </c>
      <c r="X80" s="167">
        <f t="shared" si="30"/>
        <v>0</v>
      </c>
      <c r="Y80" s="167">
        <f t="shared" si="30"/>
        <v>0</v>
      </c>
      <c r="Z80" s="167">
        <f t="shared" si="30"/>
        <v>0</v>
      </c>
      <c r="AA80" s="167">
        <f t="shared" si="30"/>
        <v>0</v>
      </c>
      <c r="AB80" s="167">
        <f t="shared" si="30"/>
        <v>0</v>
      </c>
      <c r="AC80" s="167">
        <f t="shared" si="30"/>
        <v>0</v>
      </c>
      <c r="AD80" s="167">
        <f t="shared" si="30"/>
        <v>0</v>
      </c>
      <c r="AE80" s="167">
        <f t="shared" si="30"/>
        <v>0</v>
      </c>
      <c r="AF80" s="167">
        <f t="shared" si="30"/>
        <v>0</v>
      </c>
      <c r="AG80" s="167">
        <f t="shared" si="30"/>
        <v>0</v>
      </c>
      <c r="AH80" s="167">
        <f t="shared" si="30"/>
        <v>0</v>
      </c>
      <c r="AI80" s="167">
        <f t="shared" si="30"/>
        <v>0</v>
      </c>
      <c r="AJ80" s="167">
        <f t="shared" si="30"/>
        <v>0</v>
      </c>
      <c r="AK80" s="167">
        <f t="shared" si="30"/>
        <v>0</v>
      </c>
    </row>
    <row r="81" spans="1:37" x14ac:dyDescent="0.2">
      <c r="A81" s="175" t="s">
        <v>405</v>
      </c>
      <c r="B81" s="167">
        <f>'6.2. Паспорт фин осв ввод'!P30*-1*1000000</f>
        <v>-5528187.9000000004</v>
      </c>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7"/>
    </row>
    <row r="82" spans="1:37" x14ac:dyDescent="0.2">
      <c r="A82" s="175" t="s">
        <v>224</v>
      </c>
      <c r="B82" s="167">
        <f t="shared" ref="B82:AK82" si="31">B54-B55</f>
        <v>0</v>
      </c>
      <c r="C82" s="167">
        <f t="shared" si="31"/>
        <v>0</v>
      </c>
      <c r="D82" s="167">
        <f t="shared" si="31"/>
        <v>0</v>
      </c>
      <c r="E82" s="167">
        <f t="shared" si="31"/>
        <v>0</v>
      </c>
      <c r="F82" s="167">
        <f t="shared" si="31"/>
        <v>0</v>
      </c>
      <c r="G82" s="167">
        <f t="shared" si="31"/>
        <v>0</v>
      </c>
      <c r="H82" s="167">
        <f t="shared" si="31"/>
        <v>0</v>
      </c>
      <c r="I82" s="167">
        <f t="shared" si="31"/>
        <v>0</v>
      </c>
      <c r="J82" s="167">
        <f t="shared" si="31"/>
        <v>0</v>
      </c>
      <c r="K82" s="167">
        <f t="shared" si="31"/>
        <v>0</v>
      </c>
      <c r="L82" s="167">
        <f t="shared" si="31"/>
        <v>0</v>
      </c>
      <c r="M82" s="167">
        <f t="shared" si="31"/>
        <v>0</v>
      </c>
      <c r="N82" s="167">
        <f t="shared" si="31"/>
        <v>0</v>
      </c>
      <c r="O82" s="167">
        <f t="shared" si="31"/>
        <v>0</v>
      </c>
      <c r="P82" s="167">
        <f t="shared" si="31"/>
        <v>0</v>
      </c>
      <c r="Q82" s="167">
        <f t="shared" si="31"/>
        <v>0</v>
      </c>
      <c r="R82" s="167">
        <f t="shared" si="31"/>
        <v>0</v>
      </c>
      <c r="S82" s="167">
        <f t="shared" si="31"/>
        <v>0</v>
      </c>
      <c r="T82" s="167">
        <f t="shared" si="31"/>
        <v>0</v>
      </c>
      <c r="U82" s="167">
        <f t="shared" si="31"/>
        <v>0</v>
      </c>
      <c r="V82" s="167">
        <f t="shared" si="31"/>
        <v>0</v>
      </c>
      <c r="W82" s="167">
        <f t="shared" si="31"/>
        <v>0</v>
      </c>
      <c r="X82" s="167">
        <f t="shared" si="31"/>
        <v>0</v>
      </c>
      <c r="Y82" s="167">
        <f t="shared" si="31"/>
        <v>0</v>
      </c>
      <c r="Z82" s="167">
        <f t="shared" si="31"/>
        <v>0</v>
      </c>
      <c r="AA82" s="167">
        <f t="shared" si="31"/>
        <v>0</v>
      </c>
      <c r="AB82" s="167">
        <f t="shared" si="31"/>
        <v>0</v>
      </c>
      <c r="AC82" s="167">
        <f t="shared" si="31"/>
        <v>0</v>
      </c>
      <c r="AD82" s="167">
        <f t="shared" si="31"/>
        <v>0</v>
      </c>
      <c r="AE82" s="167">
        <f t="shared" si="31"/>
        <v>0</v>
      </c>
      <c r="AF82" s="167">
        <f t="shared" si="31"/>
        <v>0</v>
      </c>
      <c r="AG82" s="167">
        <f t="shared" si="31"/>
        <v>0</v>
      </c>
      <c r="AH82" s="167">
        <f t="shared" si="31"/>
        <v>0</v>
      </c>
      <c r="AI82" s="167">
        <f t="shared" si="31"/>
        <v>0</v>
      </c>
      <c r="AJ82" s="167">
        <f t="shared" si="31"/>
        <v>0</v>
      </c>
      <c r="AK82" s="167">
        <f t="shared" si="31"/>
        <v>0</v>
      </c>
    </row>
    <row r="83" spans="1:37" ht="14.25" x14ac:dyDescent="0.2">
      <c r="A83" s="176" t="s">
        <v>223</v>
      </c>
      <c r="B83" s="174">
        <f>SUM(B75:B82)</f>
        <v>-6633825.4800000004</v>
      </c>
      <c r="C83" s="174">
        <f t="shared" ref="C83:V83" si="32">SUM(C75:C82)</f>
        <v>-76575.747307814949</v>
      </c>
      <c r="D83" s="174">
        <f t="shared" si="32"/>
        <v>-80174.80743128233</v>
      </c>
      <c r="E83" s="174">
        <f t="shared" si="32"/>
        <v>-83943.023380552389</v>
      </c>
      <c r="F83" s="174">
        <f t="shared" si="32"/>
        <v>-87888.345479438198</v>
      </c>
      <c r="G83" s="174">
        <f t="shared" si="32"/>
        <v>-92019.097716972203</v>
      </c>
      <c r="H83" s="174">
        <f t="shared" si="32"/>
        <v>-96343.99530966967</v>
      </c>
      <c r="I83" s="174">
        <f t="shared" si="32"/>
        <v>-100872.16308922417</v>
      </c>
      <c r="J83" s="174">
        <f t="shared" si="32"/>
        <v>-105613.15475441774</v>
      </c>
      <c r="K83" s="174">
        <f t="shared" si="32"/>
        <v>-110576.9730278753</v>
      </c>
      <c r="L83" s="174">
        <f t="shared" si="32"/>
        <v>-115774.09076018544</v>
      </c>
      <c r="M83" s="174">
        <f t="shared" si="32"/>
        <v>-121215.47302591425</v>
      </c>
      <c r="N83" s="174">
        <f t="shared" si="32"/>
        <v>-126912.60025813218</v>
      </c>
      <c r="O83" s="174">
        <f t="shared" si="32"/>
        <v>-132877.49247026429</v>
      </c>
      <c r="P83" s="174">
        <f t="shared" si="32"/>
        <v>-139122.73461636665</v>
      </c>
      <c r="Q83" s="174">
        <f t="shared" si="32"/>
        <v>-145661.50314333595</v>
      </c>
      <c r="R83" s="174">
        <f t="shared" si="32"/>
        <v>-152507.59379107287</v>
      </c>
      <c r="S83" s="174">
        <f t="shared" si="32"/>
        <v>-159675.45069925315</v>
      </c>
      <c r="T83" s="174">
        <f t="shared" si="32"/>
        <v>-167180.19688211827</v>
      </c>
      <c r="U83" s="174">
        <f t="shared" si="32"/>
        <v>-175037.66613557728</v>
      </c>
      <c r="V83" s="174">
        <f t="shared" si="32"/>
        <v>-183264.4364439499</v>
      </c>
      <c r="W83" s="174">
        <f>SUM(W75:W82)</f>
        <v>-191877.86495681547</v>
      </c>
      <c r="X83" s="174">
        <f>SUM(X75:X82)</f>
        <v>-200896.12460978553</v>
      </c>
      <c r="Y83" s="174">
        <f>SUM(Y75:Y82)</f>
        <v>-210338.24246644569</v>
      </c>
      <c r="Z83" s="174">
        <f>SUM(Z75:Z82)</f>
        <v>-220224.13986236855</v>
      </c>
      <c r="AA83" s="174">
        <f t="shared" ref="AA83:AK83" si="33">SUM(AA75:AA82)</f>
        <v>-230574.67443589985</v>
      </c>
      <c r="AB83" s="174">
        <f t="shared" si="33"/>
        <v>-241411.68413438709</v>
      </c>
      <c r="AC83" s="174">
        <f t="shared" si="33"/>
        <v>-252758.03328870374</v>
      </c>
      <c r="AD83" s="174">
        <f t="shared" si="33"/>
        <v>-264637.66085327254</v>
      </c>
      <c r="AE83" s="174">
        <f t="shared" si="33"/>
        <v>-277075.63091337576</v>
      </c>
      <c r="AF83" s="174">
        <f t="shared" si="33"/>
        <v>-290098.18556630472</v>
      </c>
      <c r="AG83" s="174">
        <f t="shared" si="33"/>
        <v>-303732.80028792168</v>
      </c>
      <c r="AH83" s="174">
        <f t="shared" si="33"/>
        <v>-318008.24190145335</v>
      </c>
      <c r="AI83" s="174">
        <f t="shared" si="33"/>
        <v>-332954.62927082146</v>
      </c>
      <c r="AJ83" s="174">
        <f t="shared" si="33"/>
        <v>-348603.49684655038</v>
      </c>
      <c r="AK83" s="174">
        <f t="shared" si="33"/>
        <v>-364987.8611983388</v>
      </c>
    </row>
    <row r="84" spans="1:37" ht="14.25" x14ac:dyDescent="0.2">
      <c r="A84" s="176" t="s">
        <v>422</v>
      </c>
      <c r="B84" s="174">
        <f>SUM($B$83:B83)</f>
        <v>-6633825.4800000004</v>
      </c>
      <c r="C84" s="174">
        <f>SUM($B$83:C83)</f>
        <v>-6710401.2273078151</v>
      </c>
      <c r="D84" s="174">
        <f>SUM($B$83:D83)</f>
        <v>-6790576.0347390976</v>
      </c>
      <c r="E84" s="174">
        <f>SUM($B$83:E83)</f>
        <v>-6874519.05811965</v>
      </c>
      <c r="F84" s="174">
        <f>SUM($B$83:F83)</f>
        <v>-6962407.4035990881</v>
      </c>
      <c r="G84" s="174">
        <f>SUM($B$83:G83)</f>
        <v>-7054426.5013160603</v>
      </c>
      <c r="H84" s="174">
        <f>SUM($B$83:H83)</f>
        <v>-7150770.4966257298</v>
      </c>
      <c r="I84" s="174">
        <f>SUM($B$83:I83)</f>
        <v>-7251642.659714954</v>
      </c>
      <c r="J84" s="174">
        <f>SUM($B$83:J83)</f>
        <v>-7357255.8144693719</v>
      </c>
      <c r="K84" s="174">
        <f>SUM($B$83:K83)</f>
        <v>-7467832.7874972476</v>
      </c>
      <c r="L84" s="174">
        <f>SUM($B$83:L83)</f>
        <v>-7583606.878257433</v>
      </c>
      <c r="M84" s="174">
        <f>SUM($B$83:M83)</f>
        <v>-7704822.3512833472</v>
      </c>
      <c r="N84" s="174">
        <f>SUM($B$83:N83)</f>
        <v>-7831734.9515414797</v>
      </c>
      <c r="O84" s="174">
        <f>SUM($B$83:O83)</f>
        <v>-7964612.4440117441</v>
      </c>
      <c r="P84" s="174">
        <f>SUM($B$83:P83)</f>
        <v>-8103735.1786281103</v>
      </c>
      <c r="Q84" s="174">
        <f>SUM($B$83:Q83)</f>
        <v>-8249396.681771446</v>
      </c>
      <c r="R84" s="174">
        <f>SUM($B$83:R83)</f>
        <v>-8401904.2755625192</v>
      </c>
      <c r="S84" s="174">
        <f>SUM($B$83:S83)</f>
        <v>-8561579.7262617722</v>
      </c>
      <c r="T84" s="174">
        <f>SUM($B$83:T83)</f>
        <v>-8728759.9231438898</v>
      </c>
      <c r="U84" s="174">
        <f>SUM($B$83:U83)</f>
        <v>-8903797.5892794672</v>
      </c>
      <c r="V84" s="174">
        <f>SUM($B$83:V83)</f>
        <v>-9087062.0257234164</v>
      </c>
      <c r="W84" s="174">
        <f>SUM($B$83:W83)</f>
        <v>-9278939.8906802312</v>
      </c>
      <c r="X84" s="174">
        <f>SUM($B$83:X83)</f>
        <v>-9479836.0152900163</v>
      </c>
      <c r="Y84" s="174">
        <f>SUM($B$83:Y83)</f>
        <v>-9690174.2577564623</v>
      </c>
      <c r="Z84" s="174">
        <f>SUM($B$83:Z83)</f>
        <v>-9910398.3976188302</v>
      </c>
      <c r="AA84" s="174">
        <f>SUM($B$83:AA83)</f>
        <v>-10140973.072054731</v>
      </c>
      <c r="AB84" s="174">
        <f>SUM($B$83:AB83)</f>
        <v>-10382384.756189117</v>
      </c>
      <c r="AC84" s="174">
        <f>SUM($B$83:AC83)</f>
        <v>-10635142.789477821</v>
      </c>
      <c r="AD84" s="174">
        <f>SUM($B$83:AD83)</f>
        <v>-10899780.450331094</v>
      </c>
      <c r="AE84" s="174">
        <f>SUM($B$83:AE83)</f>
        <v>-11176856.081244469</v>
      </c>
      <c r="AF84" s="174">
        <f>SUM($B$83:AF83)</f>
        <v>-11466954.266810773</v>
      </c>
      <c r="AG84" s="174">
        <f>SUM($B$83:AG83)</f>
        <v>-11770687.067098694</v>
      </c>
      <c r="AH84" s="174">
        <f>SUM($B$83:AH83)</f>
        <v>-12088695.309000148</v>
      </c>
      <c r="AI84" s="174">
        <f>SUM($B$83:AI83)</f>
        <v>-12421649.938270969</v>
      </c>
      <c r="AJ84" s="174">
        <f>SUM($B$83:AJ83)</f>
        <v>-12770253.43511752</v>
      </c>
      <c r="AK84" s="174">
        <f>SUM($B$83:AK83)</f>
        <v>-13135241.29631586</v>
      </c>
    </row>
    <row r="85" spans="1:37" x14ac:dyDescent="0.2">
      <c r="A85" s="175" t="s">
        <v>406</v>
      </c>
      <c r="B85" s="180">
        <f t="shared" ref="B85:AK85" si="34">1/POWER((1+$B$44),B73)</f>
        <v>0.83249634370229864</v>
      </c>
      <c r="C85" s="180">
        <f t="shared" si="34"/>
        <v>0.73672242805513155</v>
      </c>
      <c r="D85" s="180">
        <f t="shared" si="34"/>
        <v>0.65196675049126696</v>
      </c>
      <c r="E85" s="180">
        <f t="shared" si="34"/>
        <v>0.57696172609846641</v>
      </c>
      <c r="F85" s="180">
        <f t="shared" si="34"/>
        <v>0.51058559831722694</v>
      </c>
      <c r="G85" s="180">
        <f t="shared" si="34"/>
        <v>0.45184566222763445</v>
      </c>
      <c r="H85" s="180">
        <f t="shared" si="34"/>
        <v>0.39986341790056151</v>
      </c>
      <c r="I85" s="180">
        <f t="shared" si="34"/>
        <v>0.35386143177040841</v>
      </c>
      <c r="J85" s="180">
        <f t="shared" si="34"/>
        <v>0.31315170953133498</v>
      </c>
      <c r="K85" s="180">
        <f t="shared" si="34"/>
        <v>0.27712540666489821</v>
      </c>
      <c r="L85" s="180">
        <f t="shared" si="34"/>
        <v>0.24524372271229933</v>
      </c>
      <c r="M85" s="180">
        <f t="shared" si="34"/>
        <v>0.21702984310822954</v>
      </c>
      <c r="N85" s="180">
        <f t="shared" si="34"/>
        <v>0.19206180806038009</v>
      </c>
      <c r="O85" s="180">
        <f t="shared" si="34"/>
        <v>0.16996620182334526</v>
      </c>
      <c r="P85" s="180">
        <f t="shared" si="34"/>
        <v>0.15041256798526129</v>
      </c>
      <c r="Q85" s="180">
        <f t="shared" si="34"/>
        <v>0.13310846724359404</v>
      </c>
      <c r="R85" s="180">
        <f t="shared" si="34"/>
        <v>0.11779510375539298</v>
      </c>
      <c r="S85" s="180">
        <f t="shared" si="34"/>
        <v>0.10424345465079028</v>
      </c>
      <c r="T85" s="180">
        <f t="shared" si="34"/>
        <v>9.2250844823708225E-2</v>
      </c>
      <c r="U85" s="180">
        <f t="shared" si="34"/>
        <v>8.163791577319314E-2</v>
      </c>
      <c r="V85" s="180">
        <f t="shared" si="34"/>
        <v>7.2245943162117798E-2</v>
      </c>
      <c r="W85" s="180">
        <f t="shared" si="34"/>
        <v>6.3934462975325498E-2</v>
      </c>
      <c r="X85" s="180">
        <f t="shared" si="34"/>
        <v>5.6579170774624342E-2</v>
      </c>
      <c r="Y85" s="180">
        <f t="shared" si="34"/>
        <v>5.0070062632410935E-2</v>
      </c>
      <c r="Z85" s="180">
        <f t="shared" si="34"/>
        <v>4.4309789940186653E-2</v>
      </c>
      <c r="AA85" s="180">
        <f t="shared" si="34"/>
        <v>3.9212203486890855E-2</v>
      </c>
      <c r="AB85" s="180">
        <f t="shared" si="34"/>
        <v>3.4701065032646777E-2</v>
      </c>
      <c r="AC85" s="180">
        <f t="shared" si="34"/>
        <v>3.0708907108536979E-2</v>
      </c>
      <c r="AD85" s="180">
        <f t="shared" si="34"/>
        <v>2.7176023989855736E-2</v>
      </c>
      <c r="AE85" s="180">
        <f t="shared" si="34"/>
        <v>2.4049578752084716E-2</v>
      </c>
      <c r="AF85" s="180">
        <f t="shared" si="34"/>
        <v>2.1282813054942232E-2</v>
      </c>
      <c r="AG85" s="180">
        <f t="shared" si="34"/>
        <v>1.8834347836232068E-2</v>
      </c>
      <c r="AH85" s="180">
        <f t="shared" si="34"/>
        <v>1.6667564456842535E-2</v>
      </c>
      <c r="AI85" s="180">
        <f t="shared" si="34"/>
        <v>1.4750057041453574E-2</v>
      </c>
      <c r="AJ85" s="180">
        <f t="shared" si="34"/>
        <v>1.3053147824295197E-2</v>
      </c>
      <c r="AK85" s="180">
        <f t="shared" si="34"/>
        <v>1.1551458251588674E-2</v>
      </c>
    </row>
    <row r="86" spans="1:37" ht="28.5" x14ac:dyDescent="0.2">
      <c r="A86" s="173" t="s">
        <v>423</v>
      </c>
      <c r="B86" s="174">
        <f>B83*B85</f>
        <v>-5522635.4568591462</v>
      </c>
      <c r="C86" s="174">
        <f>C83*C85</f>
        <v>-56415.070486749632</v>
      </c>
      <c r="D86" s="174">
        <f t="shared" ref="D86:AK86" si="35">D83*D85</f>
        <v>-52271.30867223622</v>
      </c>
      <c r="E86" s="174">
        <f t="shared" si="35"/>
        <v>-48431.911663567429</v>
      </c>
      <c r="F86" s="174">
        <f t="shared" si="35"/>
        <v>-44874.523461730103</v>
      </c>
      <c r="G86" s="174">
        <f t="shared" si="35"/>
        <v>-41578.430145514707</v>
      </c>
      <c r="H86" s="174">
        <f t="shared" si="35"/>
        <v>-38524.43925872018</v>
      </c>
      <c r="I86" s="174">
        <f t="shared" si="35"/>
        <v>-35694.768056531007</v>
      </c>
      <c r="J86" s="174">
        <f t="shared" si="35"/>
        <v>-33072.939960343356</v>
      </c>
      <c r="K86" s="174">
        <f t="shared" si="35"/>
        <v>-30643.688618123422</v>
      </c>
      <c r="L86" s="174">
        <f t="shared" si="35"/>
        <v>-28392.869011659495</v>
      </c>
      <c r="M86" s="174">
        <f t="shared" si="35"/>
        <v>-26307.375093104001</v>
      </c>
      <c r="N86" s="174">
        <f t="shared" si="35"/>
        <v>-24375.063471221129</v>
      </c>
      <c r="O86" s="174">
        <f t="shared" si="35"/>
        <v>-22584.682702980979</v>
      </c>
      <c r="P86" s="174">
        <f t="shared" si="35"/>
        <v>-20925.807778779712</v>
      </c>
      <c r="Q86" s="174">
        <f t="shared" si="35"/>
        <v>-19388.779419807404</v>
      </c>
      <c r="R86" s="174">
        <f t="shared" si="35"/>
        <v>-17964.647834104755</v>
      </c>
      <c r="S86" s="174">
        <f t="shared" si="35"/>
        <v>-16645.120603812094</v>
      </c>
      <c r="T86" s="174">
        <f t="shared" si="35"/>
        <v>-15422.514400169282</v>
      </c>
      <c r="U86" s="174">
        <f t="shared" si="35"/>
        <v>-14289.710245112559</v>
      </c>
      <c r="V86" s="174">
        <f t="shared" si="35"/>
        <v>-13240.112058967154</v>
      </c>
      <c r="W86" s="174">
        <f t="shared" si="35"/>
        <v>-12267.608252866024</v>
      </c>
      <c r="X86" s="174">
        <f t="shared" si="35"/>
        <v>-11366.536142257268</v>
      </c>
      <c r="Y86" s="174">
        <f t="shared" si="35"/>
        <v>-10531.648974286174</v>
      </c>
      <c r="Z86" s="174">
        <f t="shared" si="35"/>
        <v>-9758.0853770598369</v>
      </c>
      <c r="AA86" s="174">
        <f t="shared" si="35"/>
        <v>-9041.3410529041157</v>
      </c>
      <c r="AB86" s="174">
        <f t="shared" si="35"/>
        <v>-8377.2425507881489</v>
      </c>
      <c r="AC86" s="174">
        <f t="shared" si="35"/>
        <v>-7761.9229651993001</v>
      </c>
      <c r="AD86" s="174">
        <f t="shared" si="35"/>
        <v>-7191.7994199678405</v>
      </c>
      <c r="AE86" s="174">
        <f t="shared" si="35"/>
        <v>-6663.5522059347886</v>
      </c>
      <c r="AF86" s="174">
        <f t="shared" si="35"/>
        <v>-6174.105450985604</v>
      </c>
      <c r="AG86" s="174">
        <f t="shared" si="35"/>
        <v>-5720.6092098955241</v>
      </c>
      <c r="AH86" s="174">
        <f t="shared" si="35"/>
        <v>-5300.422869699647</v>
      </c>
      <c r="AI86" s="174">
        <f t="shared" si="35"/>
        <v>-4911.0997739606446</v>
      </c>
      <c r="AJ86" s="174">
        <f t="shared" si="35"/>
        <v>-4550.3729764042464</v>
      </c>
      <c r="AK86" s="174">
        <f t="shared" si="35"/>
        <v>-4216.1420409692528</v>
      </c>
    </row>
    <row r="87" spans="1:37" ht="14.25" x14ac:dyDescent="0.2">
      <c r="A87" s="173" t="s">
        <v>424</v>
      </c>
      <c r="B87" s="174">
        <f>SUM($B$86:B86)</f>
        <v>-5522635.4568591462</v>
      </c>
      <c r="C87" s="174">
        <f>SUM($B$86:C86)</f>
        <v>-5579050.5273458958</v>
      </c>
      <c r="D87" s="174">
        <f>SUM($B$86:D86)</f>
        <v>-5631321.836018132</v>
      </c>
      <c r="E87" s="174">
        <f>SUM($B$86:E86)</f>
        <v>-5679753.7476816997</v>
      </c>
      <c r="F87" s="174">
        <f>SUM($B$86:F86)</f>
        <v>-5724628.2711434299</v>
      </c>
      <c r="G87" s="174">
        <f>SUM($B$86:G86)</f>
        <v>-5766206.701288945</v>
      </c>
      <c r="H87" s="174">
        <f>SUM($B$86:H86)</f>
        <v>-5804731.1405476648</v>
      </c>
      <c r="I87" s="174">
        <f>SUM($B$86:I86)</f>
        <v>-5840425.9086041963</v>
      </c>
      <c r="J87" s="174">
        <f>SUM($B$86:J86)</f>
        <v>-5873498.84856454</v>
      </c>
      <c r="K87" s="174">
        <f>SUM($B$86:K86)</f>
        <v>-5904142.5371826636</v>
      </c>
      <c r="L87" s="174">
        <f>SUM($B$86:L86)</f>
        <v>-5932535.4061943227</v>
      </c>
      <c r="M87" s="174">
        <f>SUM($B$86:M86)</f>
        <v>-5958842.7812874271</v>
      </c>
      <c r="N87" s="174">
        <f>SUM($B$86:N86)</f>
        <v>-5983217.8447586484</v>
      </c>
      <c r="O87" s="174">
        <f>SUM($B$86:O86)</f>
        <v>-6005802.5274616294</v>
      </c>
      <c r="P87" s="174">
        <f>SUM($B$86:P86)</f>
        <v>-6026728.3352404088</v>
      </c>
      <c r="Q87" s="174">
        <f>SUM($B$86:Q86)</f>
        <v>-6046117.1146602165</v>
      </c>
      <c r="R87" s="174">
        <f>SUM($B$86:R86)</f>
        <v>-6064081.762494321</v>
      </c>
      <c r="S87" s="174">
        <f>SUM($B$86:S86)</f>
        <v>-6080726.8830981329</v>
      </c>
      <c r="T87" s="174">
        <f>SUM($B$86:T86)</f>
        <v>-6096149.3974983022</v>
      </c>
      <c r="U87" s="174">
        <f>SUM($B$86:U86)</f>
        <v>-6110439.1077434151</v>
      </c>
      <c r="V87" s="174">
        <f>SUM($B$86:V86)</f>
        <v>-6123679.2198023824</v>
      </c>
      <c r="W87" s="174">
        <f>SUM($B$86:W86)</f>
        <v>-6135946.8280552486</v>
      </c>
      <c r="X87" s="174">
        <f>SUM($B$86:X86)</f>
        <v>-6147313.3641975056</v>
      </c>
      <c r="Y87" s="174">
        <f>SUM($B$86:Y86)</f>
        <v>-6157845.013171792</v>
      </c>
      <c r="Z87" s="174">
        <f>SUM($B$86:Z86)</f>
        <v>-6167603.0985488519</v>
      </c>
      <c r="AA87" s="174">
        <f>SUM($B$86:AA86)</f>
        <v>-6176644.4396017557</v>
      </c>
      <c r="AB87" s="174">
        <f>SUM($B$86:AB86)</f>
        <v>-6185021.6821525441</v>
      </c>
      <c r="AC87" s="174">
        <f>SUM($B$86:AC86)</f>
        <v>-6192783.6051177438</v>
      </c>
      <c r="AD87" s="174">
        <f>SUM($B$86:AD86)</f>
        <v>-6199975.4045377113</v>
      </c>
      <c r="AE87" s="174">
        <f>SUM($B$86:AE86)</f>
        <v>-6206638.9567436464</v>
      </c>
      <c r="AF87" s="174">
        <f>SUM($B$86:AF86)</f>
        <v>-6212813.0621946324</v>
      </c>
      <c r="AG87" s="174">
        <f>SUM($B$86:AG86)</f>
        <v>-6218533.6714045275</v>
      </c>
      <c r="AH87" s="174">
        <f>SUM($B$86:AH86)</f>
        <v>-6223834.0942742275</v>
      </c>
      <c r="AI87" s="174">
        <f>SUM($B$86:AI86)</f>
        <v>-6228745.1940481877</v>
      </c>
      <c r="AJ87" s="174">
        <f>SUM($B$86:AJ86)</f>
        <v>-6233295.5670245923</v>
      </c>
      <c r="AK87" s="174">
        <f>SUM($B$86:AK86)</f>
        <v>-6237511.7090655612</v>
      </c>
    </row>
    <row r="88" spans="1:37" ht="14.25" x14ac:dyDescent="0.2">
      <c r="A88" s="173" t="s">
        <v>425</v>
      </c>
      <c r="B88" s="181">
        <f>IF((ISERR(IRR($B$83:B83))),0,IF(IRR($B$83:B83)&lt;0,0,IRR($B$83:B83)))</f>
        <v>0</v>
      </c>
      <c r="C88" s="181">
        <f>IF((ISERR(IRR($B$83:C83))),0,IF(IRR($B$83:C83)&lt;0,0,IRR($B$83:C83)))</f>
        <v>0</v>
      </c>
      <c r="D88" s="181">
        <f>IF((ISERR(IRR($B$83:D83))),0,IF(IRR($B$83:D83)&lt;0,0,IRR($B$83:D83)))</f>
        <v>0</v>
      </c>
      <c r="E88" s="181">
        <f>IF((ISERR(IRR($B$83:E83))),0,IF(IRR($B$83:E83)&lt;0,0,IRR($B$83:E83)))</f>
        <v>0</v>
      </c>
      <c r="F88" s="181">
        <f>IF((ISERR(IRR($B$83:F83))),0,IF(IRR($B$83:F83)&lt;0,0,IRR($B$83:F83)))</f>
        <v>0</v>
      </c>
      <c r="G88" s="181">
        <f>IF((ISERR(IRR($B$83:G83))),0,IF(IRR($B$83:G83)&lt;0,0,IRR($B$83:G83)))</f>
        <v>0</v>
      </c>
      <c r="H88" s="181">
        <f>IF((ISERR(IRR($B$83:H83))),0,IF(IRR($B$83:H83)&lt;0,0,IRR($B$83:H83)))</f>
        <v>0</v>
      </c>
      <c r="I88" s="181">
        <f>IF((ISERR(IRR($B$83:I83))),0,IF(IRR($B$83:I83)&lt;0,0,IRR($B$83:I83)))</f>
        <v>0</v>
      </c>
      <c r="J88" s="181">
        <f>IF((ISERR(IRR($B$83:J83))),0,IF(IRR($B$83:J83)&lt;0,0,IRR($B$83:J83)))</f>
        <v>0</v>
      </c>
      <c r="K88" s="181">
        <f>IF((ISERR(IRR($B$83:K83))),0,IF(IRR($B$83:K83)&lt;0,0,IRR($B$83:K83)))</f>
        <v>0</v>
      </c>
      <c r="L88" s="181">
        <f>IF((ISERR(IRR($B$83:L83))),0,IF(IRR($B$83:L83)&lt;0,0,IRR($B$83:L83)))</f>
        <v>0</v>
      </c>
      <c r="M88" s="181">
        <f>IF((ISERR(IRR($B$83:M83))),0,IF(IRR($B$83:M83)&lt;0,0,IRR($B$83:M83)))</f>
        <v>0</v>
      </c>
      <c r="N88" s="181">
        <f>IF((ISERR(IRR($B$83:N83))),0,IF(IRR($B$83:N83)&lt;0,0,IRR($B$83:N83)))</f>
        <v>0</v>
      </c>
      <c r="O88" s="181">
        <f>IF((ISERR(IRR($B$83:O83))),0,IF(IRR($B$83:O83)&lt;0,0,IRR($B$83:O83)))</f>
        <v>0</v>
      </c>
      <c r="P88" s="181">
        <f>IF((ISERR(IRR($B$83:P83))),0,IF(IRR($B$83:P83)&lt;0,0,IRR($B$83:P83)))</f>
        <v>0</v>
      </c>
      <c r="Q88" s="181">
        <f>IF((ISERR(IRR($B$83:Q83))),0,IF(IRR($B$83:Q83)&lt;0,0,IRR($B$83:Q83)))</f>
        <v>0</v>
      </c>
      <c r="R88" s="181">
        <f>IF((ISERR(IRR($B$83:R83))),0,IF(IRR($B$83:R83)&lt;0,0,IRR($B$83:R83)))</f>
        <v>0</v>
      </c>
      <c r="S88" s="181">
        <f>IF((ISERR(IRR($B$83:S83))),0,IF(IRR($B$83:S83)&lt;0,0,IRR($B$83:S83)))</f>
        <v>0</v>
      </c>
      <c r="T88" s="181">
        <f>IF((ISERR(IRR($B$83:T83))),0,IF(IRR($B$83:T83)&lt;0,0,IRR($B$83:T83)))</f>
        <v>0</v>
      </c>
      <c r="U88" s="181">
        <f>IF((ISERR(IRR($B$83:U83))),0,IF(IRR($B$83:U83)&lt;0,0,IRR($B$83:U83)))</f>
        <v>0</v>
      </c>
      <c r="V88" s="181">
        <f>IF((ISERR(IRR($B$83:V83))),0,IF(IRR($B$83:V83)&lt;0,0,IRR($B$83:V83)))</f>
        <v>0</v>
      </c>
      <c r="W88" s="181">
        <f>IF((ISERR(IRR($B$83:W83))),0,IF(IRR($B$83:W83)&lt;0,0,IRR($B$83:W83)))</f>
        <v>0</v>
      </c>
      <c r="X88" s="181">
        <f>IF((ISERR(IRR($B$83:X83))),0,IF(IRR($B$83:X83)&lt;0,0,IRR($B$83:X83)))</f>
        <v>0</v>
      </c>
      <c r="Y88" s="181">
        <f>IF((ISERR(IRR($B$83:Y83))),0,IF(IRR($B$83:Y83)&lt;0,0,IRR($B$83:Y83)))</f>
        <v>0</v>
      </c>
      <c r="Z88" s="181">
        <f>IF((ISERR(IRR($B$83:Z83))),0,IF(IRR($B$83:Z83)&lt;0,0,IRR($B$83:Z83)))</f>
        <v>0</v>
      </c>
      <c r="AA88" s="181">
        <f>IF((ISERR(IRR($B$83:AA83))),0,IF(IRR($B$83:AA83)&lt;0,0,IRR($B$83:AA83)))</f>
        <v>0</v>
      </c>
      <c r="AB88" s="181">
        <f>IF((ISERR(IRR($B$83:AB83))),0,IF(IRR($B$83:AB83)&lt;0,0,IRR($B$83:AB83)))</f>
        <v>0</v>
      </c>
      <c r="AC88" s="181">
        <f>IF((ISERR(IRR($B$83:AC83))),0,IF(IRR($B$83:AC83)&lt;0,0,IRR($B$83:AC83)))</f>
        <v>0</v>
      </c>
      <c r="AD88" s="181">
        <f>IF((ISERR(IRR($B$83:AD83))),0,IF(IRR($B$83:AD83)&lt;0,0,IRR($B$83:AD83)))</f>
        <v>0</v>
      </c>
      <c r="AE88" s="181">
        <f>IF((ISERR(IRR($B$83:AE83))),0,IF(IRR($B$83:AE83)&lt;0,0,IRR($B$83:AE83)))</f>
        <v>0</v>
      </c>
      <c r="AF88" s="181">
        <f>IF((ISERR(IRR($B$83:AF83))),0,IF(IRR($B$83:AF83)&lt;0,0,IRR($B$83:AF83)))</f>
        <v>0</v>
      </c>
      <c r="AG88" s="181">
        <f>IF((ISERR(IRR($B$83:AG83))),0,IF(IRR($B$83:AG83)&lt;0,0,IRR($B$83:AG83)))</f>
        <v>0</v>
      </c>
      <c r="AH88" s="181">
        <f>IF((ISERR(IRR($B$83:AH83))),0,IF(IRR($B$83:AH83)&lt;0,0,IRR($B$83:AH83)))</f>
        <v>0</v>
      </c>
      <c r="AI88" s="181">
        <f>IF((ISERR(IRR($B$83:AI83))),0,IF(IRR($B$83:AI83)&lt;0,0,IRR($B$83:AI83)))</f>
        <v>0</v>
      </c>
      <c r="AJ88" s="181">
        <f>IF((ISERR(IRR($B$83:AJ83))),0,IF(IRR($B$83:AJ83)&lt;0,0,IRR($B$83:AJ83)))</f>
        <v>0</v>
      </c>
      <c r="AK88" s="181">
        <f>IF((ISERR(IRR($B$83:AK83))),0,IF(IRR($B$83:AK83)&lt;0,0,IRR($B$83:AK83)))</f>
        <v>0</v>
      </c>
    </row>
    <row r="89" spans="1:37" ht="14.25" x14ac:dyDescent="0.2">
      <c r="A89" s="173" t="s">
        <v>426</v>
      </c>
      <c r="B89" s="182">
        <f>IF(AND(B84&gt;0,A84&lt;0),(B74-(B84/(B84-A84))),0)</f>
        <v>0</v>
      </c>
      <c r="C89" s="182">
        <f t="shared" ref="C89:AK89" si="36">IF(AND(C84&gt;0,B84&lt;0),(C74-(C84/(C84-B84))),0)</f>
        <v>0</v>
      </c>
      <c r="D89" s="182">
        <f t="shared" si="36"/>
        <v>0</v>
      </c>
      <c r="E89" s="182">
        <f t="shared" si="36"/>
        <v>0</v>
      </c>
      <c r="F89" s="182">
        <f t="shared" si="36"/>
        <v>0</v>
      </c>
      <c r="G89" s="182">
        <f t="shared" si="36"/>
        <v>0</v>
      </c>
      <c r="H89" s="182">
        <f>IF(AND(H84&gt;0,G84&lt;0),(H74-(H84/(H84-G84))),0)</f>
        <v>0</v>
      </c>
      <c r="I89" s="182">
        <f t="shared" si="36"/>
        <v>0</v>
      </c>
      <c r="J89" s="182">
        <f t="shared" si="36"/>
        <v>0</v>
      </c>
      <c r="K89" s="182">
        <f t="shared" si="36"/>
        <v>0</v>
      </c>
      <c r="L89" s="182">
        <f t="shared" si="36"/>
        <v>0</v>
      </c>
      <c r="M89" s="182">
        <f t="shared" si="36"/>
        <v>0</v>
      </c>
      <c r="N89" s="182">
        <f t="shared" si="36"/>
        <v>0</v>
      </c>
      <c r="O89" s="182">
        <f t="shared" si="36"/>
        <v>0</v>
      </c>
      <c r="P89" s="182">
        <f t="shared" si="36"/>
        <v>0</v>
      </c>
      <c r="Q89" s="182">
        <f t="shared" si="36"/>
        <v>0</v>
      </c>
      <c r="R89" s="182">
        <f t="shared" si="36"/>
        <v>0</v>
      </c>
      <c r="S89" s="182">
        <f t="shared" si="36"/>
        <v>0</v>
      </c>
      <c r="T89" s="182">
        <f t="shared" si="36"/>
        <v>0</v>
      </c>
      <c r="U89" s="182">
        <f t="shared" si="36"/>
        <v>0</v>
      </c>
      <c r="V89" s="182">
        <f t="shared" si="36"/>
        <v>0</v>
      </c>
      <c r="W89" s="182">
        <f t="shared" si="36"/>
        <v>0</v>
      </c>
      <c r="X89" s="182">
        <f t="shared" si="36"/>
        <v>0</v>
      </c>
      <c r="Y89" s="182">
        <f t="shared" si="36"/>
        <v>0</v>
      </c>
      <c r="Z89" s="182">
        <f t="shared" si="36"/>
        <v>0</v>
      </c>
      <c r="AA89" s="182">
        <f t="shared" si="36"/>
        <v>0</v>
      </c>
      <c r="AB89" s="182">
        <f t="shared" si="36"/>
        <v>0</v>
      </c>
      <c r="AC89" s="182">
        <f t="shared" si="36"/>
        <v>0</v>
      </c>
      <c r="AD89" s="182">
        <f t="shared" si="36"/>
        <v>0</v>
      </c>
      <c r="AE89" s="182">
        <f t="shared" si="36"/>
        <v>0</v>
      </c>
      <c r="AF89" s="182">
        <f t="shared" si="36"/>
        <v>0</v>
      </c>
      <c r="AG89" s="182">
        <f t="shared" si="36"/>
        <v>0</v>
      </c>
      <c r="AH89" s="182">
        <f t="shared" si="36"/>
        <v>0</v>
      </c>
      <c r="AI89" s="182">
        <f t="shared" si="36"/>
        <v>0</v>
      </c>
      <c r="AJ89" s="182">
        <f t="shared" si="36"/>
        <v>0</v>
      </c>
      <c r="AK89" s="182">
        <f t="shared" si="36"/>
        <v>0</v>
      </c>
    </row>
    <row r="90" spans="1:37" ht="15" thickBot="1" x14ac:dyDescent="0.25">
      <c r="A90" s="183" t="s">
        <v>427</v>
      </c>
      <c r="B90" s="184">
        <f t="shared" ref="B90:AK90" si="37">IF(AND(B87&gt;0,A87&lt;0),(B74-(B87/(B87-A87))),0)</f>
        <v>0</v>
      </c>
      <c r="C90" s="184">
        <f t="shared" si="37"/>
        <v>0</v>
      </c>
      <c r="D90" s="184">
        <f t="shared" si="37"/>
        <v>0</v>
      </c>
      <c r="E90" s="184">
        <f t="shared" si="37"/>
        <v>0</v>
      </c>
      <c r="F90" s="184">
        <f t="shared" si="37"/>
        <v>0</v>
      </c>
      <c r="G90" s="184">
        <f t="shared" si="37"/>
        <v>0</v>
      </c>
      <c r="H90" s="184">
        <f t="shared" si="37"/>
        <v>0</v>
      </c>
      <c r="I90" s="184">
        <f t="shared" si="37"/>
        <v>0</v>
      </c>
      <c r="J90" s="184">
        <f t="shared" si="37"/>
        <v>0</v>
      </c>
      <c r="K90" s="184">
        <f t="shared" si="37"/>
        <v>0</v>
      </c>
      <c r="L90" s="184">
        <f t="shared" si="37"/>
        <v>0</v>
      </c>
      <c r="M90" s="184">
        <f t="shared" si="37"/>
        <v>0</v>
      </c>
      <c r="N90" s="184">
        <f t="shared" si="37"/>
        <v>0</v>
      </c>
      <c r="O90" s="184">
        <f t="shared" si="37"/>
        <v>0</v>
      </c>
      <c r="P90" s="184">
        <f t="shared" si="37"/>
        <v>0</v>
      </c>
      <c r="Q90" s="184">
        <f t="shared" si="37"/>
        <v>0</v>
      </c>
      <c r="R90" s="184">
        <f t="shared" si="37"/>
        <v>0</v>
      </c>
      <c r="S90" s="184">
        <f t="shared" si="37"/>
        <v>0</v>
      </c>
      <c r="T90" s="184">
        <f t="shared" si="37"/>
        <v>0</v>
      </c>
      <c r="U90" s="184">
        <f t="shared" si="37"/>
        <v>0</v>
      </c>
      <c r="V90" s="184">
        <f t="shared" si="37"/>
        <v>0</v>
      </c>
      <c r="W90" s="184">
        <f t="shared" si="37"/>
        <v>0</v>
      </c>
      <c r="X90" s="184">
        <f t="shared" si="37"/>
        <v>0</v>
      </c>
      <c r="Y90" s="184">
        <f t="shared" si="37"/>
        <v>0</v>
      </c>
      <c r="Z90" s="184">
        <f t="shared" si="37"/>
        <v>0</v>
      </c>
      <c r="AA90" s="184">
        <f t="shared" si="37"/>
        <v>0</v>
      </c>
      <c r="AB90" s="184">
        <f t="shared" si="37"/>
        <v>0</v>
      </c>
      <c r="AC90" s="184">
        <f t="shared" si="37"/>
        <v>0</v>
      </c>
      <c r="AD90" s="184">
        <f t="shared" si="37"/>
        <v>0</v>
      </c>
      <c r="AE90" s="184">
        <f t="shared" si="37"/>
        <v>0</v>
      </c>
      <c r="AF90" s="184">
        <f t="shared" si="37"/>
        <v>0</v>
      </c>
      <c r="AG90" s="184">
        <f t="shared" si="37"/>
        <v>0</v>
      </c>
      <c r="AH90" s="184">
        <f t="shared" si="37"/>
        <v>0</v>
      </c>
      <c r="AI90" s="184">
        <f t="shared" si="37"/>
        <v>0</v>
      </c>
      <c r="AJ90" s="184">
        <f t="shared" si="37"/>
        <v>0</v>
      </c>
      <c r="AK90" s="184">
        <f t="shared" si="37"/>
        <v>0</v>
      </c>
    </row>
    <row r="91" spans="1:37" s="160" customFormat="1" x14ac:dyDescent="0.2">
      <c r="A91" s="146"/>
      <c r="B91" s="121">
        <v>2023</v>
      </c>
      <c r="C91" s="121">
        <f>B91+1</f>
        <v>2024</v>
      </c>
      <c r="D91" s="106">
        <f t="shared" ref="D91:AK91" si="38">C91+1</f>
        <v>2025</v>
      </c>
      <c r="E91" s="106">
        <f t="shared" si="38"/>
        <v>2026</v>
      </c>
      <c r="F91" s="106">
        <f t="shared" si="38"/>
        <v>2027</v>
      </c>
      <c r="G91" s="106">
        <f t="shared" si="38"/>
        <v>2028</v>
      </c>
      <c r="H91" s="106">
        <f t="shared" si="38"/>
        <v>2029</v>
      </c>
      <c r="I91" s="106">
        <f t="shared" si="38"/>
        <v>2030</v>
      </c>
      <c r="J91" s="106">
        <f t="shared" si="38"/>
        <v>2031</v>
      </c>
      <c r="K91" s="106">
        <f t="shared" si="38"/>
        <v>2032</v>
      </c>
      <c r="L91" s="106">
        <f t="shared" si="38"/>
        <v>2033</v>
      </c>
      <c r="M91" s="106">
        <f t="shared" si="38"/>
        <v>2034</v>
      </c>
      <c r="N91" s="106">
        <f t="shared" si="38"/>
        <v>2035</v>
      </c>
      <c r="O91" s="106">
        <f t="shared" si="38"/>
        <v>2036</v>
      </c>
      <c r="P91" s="106">
        <f t="shared" si="38"/>
        <v>2037</v>
      </c>
      <c r="Q91" s="106">
        <f t="shared" si="38"/>
        <v>2038</v>
      </c>
      <c r="R91" s="106">
        <f t="shared" si="38"/>
        <v>2039</v>
      </c>
      <c r="S91" s="106">
        <f t="shared" si="38"/>
        <v>2040</v>
      </c>
      <c r="T91" s="106">
        <f t="shared" si="38"/>
        <v>2041</v>
      </c>
      <c r="U91" s="106">
        <f t="shared" si="38"/>
        <v>2042</v>
      </c>
      <c r="V91" s="106">
        <f t="shared" si="38"/>
        <v>2043</v>
      </c>
      <c r="W91" s="106">
        <f t="shared" si="38"/>
        <v>2044</v>
      </c>
      <c r="X91" s="106">
        <f t="shared" si="38"/>
        <v>2045</v>
      </c>
      <c r="Y91" s="106">
        <f t="shared" si="38"/>
        <v>2046</v>
      </c>
      <c r="Z91" s="106">
        <f t="shared" si="38"/>
        <v>2047</v>
      </c>
      <c r="AA91" s="106">
        <f t="shared" si="38"/>
        <v>2048</v>
      </c>
      <c r="AB91" s="106">
        <f t="shared" si="38"/>
        <v>2049</v>
      </c>
      <c r="AC91" s="106">
        <f t="shared" si="38"/>
        <v>2050</v>
      </c>
      <c r="AD91" s="106">
        <f t="shared" si="38"/>
        <v>2051</v>
      </c>
      <c r="AE91" s="106">
        <f t="shared" si="38"/>
        <v>2052</v>
      </c>
      <c r="AF91" s="106">
        <f t="shared" si="38"/>
        <v>2053</v>
      </c>
      <c r="AG91" s="106">
        <f t="shared" si="38"/>
        <v>2054</v>
      </c>
      <c r="AH91" s="106">
        <f t="shared" si="38"/>
        <v>2055</v>
      </c>
      <c r="AI91" s="106">
        <f t="shared" si="38"/>
        <v>2056</v>
      </c>
      <c r="AJ91" s="106">
        <f t="shared" si="38"/>
        <v>2057</v>
      </c>
      <c r="AK91" s="106">
        <f t="shared" si="38"/>
        <v>2058</v>
      </c>
    </row>
    <row r="92" spans="1:37" ht="15.6" customHeight="1" x14ac:dyDescent="0.2">
      <c r="A92" s="185" t="s">
        <v>428</v>
      </c>
      <c r="B92" s="186"/>
      <c r="C92" s="186"/>
      <c r="D92" s="186"/>
      <c r="E92" s="186"/>
      <c r="F92" s="186"/>
      <c r="G92" s="186"/>
      <c r="H92" s="186"/>
      <c r="I92" s="186"/>
      <c r="J92" s="186"/>
      <c r="K92" s="186"/>
      <c r="L92" s="379">
        <v>10</v>
      </c>
      <c r="M92" s="186"/>
      <c r="N92" s="186"/>
      <c r="O92" s="186"/>
      <c r="P92" s="186"/>
      <c r="Q92" s="186"/>
      <c r="R92" s="186"/>
      <c r="S92" s="186"/>
      <c r="T92" s="186"/>
      <c r="U92" s="186"/>
      <c r="V92" s="186"/>
      <c r="W92" s="186"/>
      <c r="X92" s="186"/>
      <c r="Y92" s="186"/>
      <c r="Z92" s="186"/>
      <c r="AA92" s="186">
        <v>25</v>
      </c>
      <c r="AB92" s="186"/>
      <c r="AC92" s="186"/>
      <c r="AD92" s="186"/>
      <c r="AE92" s="186"/>
      <c r="AF92" s="186">
        <v>30</v>
      </c>
      <c r="AG92" s="186"/>
      <c r="AH92" s="186"/>
      <c r="AI92" s="186"/>
      <c r="AJ92" s="186"/>
      <c r="AK92" s="186">
        <v>35</v>
      </c>
    </row>
    <row r="93" spans="1:37" ht="12.75" x14ac:dyDescent="0.2">
      <c r="A93" s="187" t="s">
        <v>429</v>
      </c>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7"/>
      <c r="AI93" s="187"/>
      <c r="AJ93" s="187"/>
      <c r="AK93" s="187"/>
    </row>
    <row r="94" spans="1:37" ht="12.75" x14ac:dyDescent="0.2">
      <c r="A94" s="187" t="s">
        <v>430</v>
      </c>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87"/>
    </row>
    <row r="95" spans="1:37" ht="12.75" x14ac:dyDescent="0.2">
      <c r="A95" s="187" t="s">
        <v>431</v>
      </c>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row>
    <row r="96" spans="1:37" ht="12.75" x14ac:dyDescent="0.2">
      <c r="A96" s="188" t="s">
        <v>432</v>
      </c>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6"/>
      <c r="AH96" s="186"/>
      <c r="AI96" s="186"/>
      <c r="AJ96" s="186"/>
      <c r="AK96" s="186"/>
    </row>
    <row r="97" spans="1:45" ht="33" customHeight="1" x14ac:dyDescent="0.2">
      <c r="A97" s="451" t="s">
        <v>433</v>
      </c>
      <c r="B97" s="451"/>
      <c r="C97" s="451"/>
      <c r="D97" s="451"/>
      <c r="E97" s="451"/>
      <c r="F97" s="451"/>
      <c r="G97" s="451"/>
      <c r="H97" s="451"/>
      <c r="I97" s="451"/>
      <c r="J97" s="451"/>
      <c r="K97" s="451"/>
      <c r="L97" s="451"/>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row>
    <row r="98" spans="1:45" x14ac:dyDescent="0.2">
      <c r="C98" s="122"/>
    </row>
    <row r="99" spans="1:45" ht="12.75" x14ac:dyDescent="0.2">
      <c r="A99" s="192"/>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0"/>
      <c r="AR99" s="190"/>
      <c r="AS99" s="190"/>
    </row>
    <row r="100" spans="1:45" ht="12.75" hidden="1" x14ac:dyDescent="0.2">
      <c r="A100" s="193"/>
      <c r="B100" s="194">
        <v>2016</v>
      </c>
      <c r="C100" s="194">
        <v>2017</v>
      </c>
      <c r="D100" s="195">
        <f t="shared" ref="D100:AK100" si="39">C100+1</f>
        <v>2018</v>
      </c>
      <c r="E100" s="195">
        <f t="shared" si="39"/>
        <v>2019</v>
      </c>
      <c r="F100" s="195">
        <f t="shared" si="39"/>
        <v>2020</v>
      </c>
      <c r="G100" s="195">
        <f t="shared" si="39"/>
        <v>2021</v>
      </c>
      <c r="H100" s="195">
        <f t="shared" si="39"/>
        <v>2022</v>
      </c>
      <c r="I100" s="195">
        <f t="shared" si="39"/>
        <v>2023</v>
      </c>
      <c r="J100" s="195">
        <f t="shared" si="39"/>
        <v>2024</v>
      </c>
      <c r="K100" s="195">
        <f t="shared" si="39"/>
        <v>2025</v>
      </c>
      <c r="L100" s="195">
        <f t="shared" si="39"/>
        <v>2026</v>
      </c>
      <c r="M100" s="195">
        <f t="shared" si="39"/>
        <v>2027</v>
      </c>
      <c r="N100" s="195">
        <f t="shared" si="39"/>
        <v>2028</v>
      </c>
      <c r="O100" s="195">
        <f t="shared" si="39"/>
        <v>2029</v>
      </c>
      <c r="P100" s="195">
        <f t="shared" si="39"/>
        <v>2030</v>
      </c>
      <c r="Q100" s="195">
        <f t="shared" si="39"/>
        <v>2031</v>
      </c>
      <c r="R100" s="195">
        <f t="shared" si="39"/>
        <v>2032</v>
      </c>
      <c r="S100" s="195">
        <f t="shared" si="39"/>
        <v>2033</v>
      </c>
      <c r="T100" s="195">
        <f t="shared" si="39"/>
        <v>2034</v>
      </c>
      <c r="U100" s="195">
        <f t="shared" si="39"/>
        <v>2035</v>
      </c>
      <c r="V100" s="195">
        <f t="shared" si="39"/>
        <v>2036</v>
      </c>
      <c r="W100" s="195">
        <f t="shared" si="39"/>
        <v>2037</v>
      </c>
      <c r="X100" s="195">
        <f t="shared" si="39"/>
        <v>2038</v>
      </c>
      <c r="Y100" s="195">
        <f t="shared" si="39"/>
        <v>2039</v>
      </c>
      <c r="Z100" s="195">
        <f t="shared" si="39"/>
        <v>2040</v>
      </c>
      <c r="AA100" s="195">
        <f t="shared" si="39"/>
        <v>2041</v>
      </c>
      <c r="AB100" s="195">
        <f t="shared" si="39"/>
        <v>2042</v>
      </c>
      <c r="AC100" s="195">
        <f t="shared" si="39"/>
        <v>2043</v>
      </c>
      <c r="AD100" s="195">
        <f t="shared" si="39"/>
        <v>2044</v>
      </c>
      <c r="AE100" s="195">
        <f t="shared" si="39"/>
        <v>2045</v>
      </c>
      <c r="AF100" s="195">
        <f t="shared" si="39"/>
        <v>2046</v>
      </c>
      <c r="AG100" s="195">
        <f t="shared" si="39"/>
        <v>2047</v>
      </c>
      <c r="AH100" s="195">
        <f t="shared" si="39"/>
        <v>2048</v>
      </c>
      <c r="AI100" s="195">
        <f t="shared" si="39"/>
        <v>2049</v>
      </c>
      <c r="AJ100" s="195">
        <f t="shared" si="39"/>
        <v>2050</v>
      </c>
      <c r="AK100" s="195">
        <f t="shared" si="39"/>
        <v>2051</v>
      </c>
    </row>
    <row r="101" spans="1:45" ht="12.75" hidden="1" x14ac:dyDescent="0.2">
      <c r="A101" s="196" t="s">
        <v>434</v>
      </c>
      <c r="B101" s="197"/>
      <c r="C101" s="197">
        <f>C102*$B$104*$B$105*1000</f>
        <v>0</v>
      </c>
      <c r="D101" s="197">
        <f t="shared" ref="D101:AK101" si="40">D102*$B$104*$B$105*1000</f>
        <v>0</v>
      </c>
      <c r="E101" s="197">
        <f>E102*$B$104*$B$105*1000</f>
        <v>0</v>
      </c>
      <c r="F101" s="197">
        <f t="shared" si="40"/>
        <v>0</v>
      </c>
      <c r="G101" s="197">
        <f t="shared" si="40"/>
        <v>0</v>
      </c>
      <c r="H101" s="197">
        <f t="shared" si="40"/>
        <v>0</v>
      </c>
      <c r="I101" s="197">
        <f t="shared" si="40"/>
        <v>0</v>
      </c>
      <c r="J101" s="197">
        <f t="shared" si="40"/>
        <v>0</v>
      </c>
      <c r="K101" s="197">
        <f t="shared" si="40"/>
        <v>0</v>
      </c>
      <c r="L101" s="197">
        <f t="shared" si="40"/>
        <v>0</v>
      </c>
      <c r="M101" s="197">
        <f t="shared" si="40"/>
        <v>0</v>
      </c>
      <c r="N101" s="197">
        <f t="shared" si="40"/>
        <v>0</v>
      </c>
      <c r="O101" s="197">
        <f t="shared" si="40"/>
        <v>0</v>
      </c>
      <c r="P101" s="197">
        <f t="shared" si="40"/>
        <v>0</v>
      </c>
      <c r="Q101" s="197">
        <f t="shared" si="40"/>
        <v>0</v>
      </c>
      <c r="R101" s="197">
        <f t="shared" si="40"/>
        <v>0</v>
      </c>
      <c r="S101" s="197">
        <f t="shared" si="40"/>
        <v>0</v>
      </c>
      <c r="T101" s="197">
        <f t="shared" si="40"/>
        <v>0</v>
      </c>
      <c r="U101" s="197">
        <f t="shared" si="40"/>
        <v>0</v>
      </c>
      <c r="V101" s="197">
        <f t="shared" si="40"/>
        <v>0</v>
      </c>
      <c r="W101" s="197">
        <f t="shared" si="40"/>
        <v>0</v>
      </c>
      <c r="X101" s="197">
        <f t="shared" si="40"/>
        <v>0</v>
      </c>
      <c r="Y101" s="197">
        <f t="shared" si="40"/>
        <v>0</v>
      </c>
      <c r="Z101" s="197">
        <f t="shared" si="40"/>
        <v>0</v>
      </c>
      <c r="AA101" s="197">
        <f t="shared" si="40"/>
        <v>0</v>
      </c>
      <c r="AB101" s="197">
        <f t="shared" si="40"/>
        <v>0</v>
      </c>
      <c r="AC101" s="197">
        <f t="shared" si="40"/>
        <v>0</v>
      </c>
      <c r="AD101" s="197">
        <f t="shared" si="40"/>
        <v>0</v>
      </c>
      <c r="AE101" s="197">
        <f t="shared" si="40"/>
        <v>0</v>
      </c>
      <c r="AF101" s="197">
        <f t="shared" si="40"/>
        <v>0</v>
      </c>
      <c r="AG101" s="197">
        <f t="shared" si="40"/>
        <v>0</v>
      </c>
      <c r="AH101" s="197">
        <f t="shared" si="40"/>
        <v>0</v>
      </c>
      <c r="AI101" s="197">
        <f t="shared" si="40"/>
        <v>0</v>
      </c>
      <c r="AJ101" s="197">
        <f t="shared" si="40"/>
        <v>0</v>
      </c>
      <c r="AK101" s="197">
        <f t="shared" si="40"/>
        <v>0</v>
      </c>
    </row>
    <row r="102" spans="1:45" ht="12.75" hidden="1" x14ac:dyDescent="0.2">
      <c r="A102" s="196" t="s">
        <v>435</v>
      </c>
      <c r="B102" s="195"/>
      <c r="C102" s="195">
        <f>B102+$I$113*C106</f>
        <v>0</v>
      </c>
      <c r="D102" s="195">
        <f>C102+$I$113*D106</f>
        <v>0</v>
      </c>
      <c r="E102" s="195">
        <f t="shared" ref="E102:AK102" si="41">D102+$I$113*E106</f>
        <v>0</v>
      </c>
      <c r="F102" s="195">
        <f t="shared" si="41"/>
        <v>0</v>
      </c>
      <c r="G102" s="195">
        <f t="shared" si="41"/>
        <v>0</v>
      </c>
      <c r="H102" s="195">
        <f t="shared" si="41"/>
        <v>0</v>
      </c>
      <c r="I102" s="195">
        <f t="shared" si="41"/>
        <v>0</v>
      </c>
      <c r="J102" s="195">
        <f t="shared" si="41"/>
        <v>0</v>
      </c>
      <c r="K102" s="195">
        <f t="shared" si="41"/>
        <v>0</v>
      </c>
      <c r="L102" s="195">
        <f t="shared" si="41"/>
        <v>0</v>
      </c>
      <c r="M102" s="195">
        <f t="shared" si="41"/>
        <v>0</v>
      </c>
      <c r="N102" s="195">
        <f t="shared" si="41"/>
        <v>0</v>
      </c>
      <c r="O102" s="195">
        <f t="shared" si="41"/>
        <v>0</v>
      </c>
      <c r="P102" s="195">
        <f t="shared" si="41"/>
        <v>0</v>
      </c>
      <c r="Q102" s="195">
        <f t="shared" si="41"/>
        <v>0</v>
      </c>
      <c r="R102" s="195">
        <f t="shared" si="41"/>
        <v>0</v>
      </c>
      <c r="S102" s="195">
        <f t="shared" si="41"/>
        <v>0</v>
      </c>
      <c r="T102" s="195">
        <f t="shared" si="41"/>
        <v>0</v>
      </c>
      <c r="U102" s="195">
        <f t="shared" si="41"/>
        <v>0</v>
      </c>
      <c r="V102" s="195">
        <f t="shared" si="41"/>
        <v>0</v>
      </c>
      <c r="W102" s="195">
        <f t="shared" si="41"/>
        <v>0</v>
      </c>
      <c r="X102" s="195">
        <f t="shared" si="41"/>
        <v>0</v>
      </c>
      <c r="Y102" s="195">
        <f t="shared" si="41"/>
        <v>0</v>
      </c>
      <c r="Z102" s="195">
        <f t="shared" si="41"/>
        <v>0</v>
      </c>
      <c r="AA102" s="195">
        <f t="shared" si="41"/>
        <v>0</v>
      </c>
      <c r="AB102" s="195">
        <f t="shared" si="41"/>
        <v>0</v>
      </c>
      <c r="AC102" s="195">
        <f t="shared" si="41"/>
        <v>0</v>
      </c>
      <c r="AD102" s="195">
        <f t="shared" si="41"/>
        <v>0</v>
      </c>
      <c r="AE102" s="195">
        <f t="shared" si="41"/>
        <v>0</v>
      </c>
      <c r="AF102" s="195">
        <f t="shared" si="41"/>
        <v>0</v>
      </c>
      <c r="AG102" s="195">
        <f t="shared" si="41"/>
        <v>0</v>
      </c>
      <c r="AH102" s="195">
        <f t="shared" si="41"/>
        <v>0</v>
      </c>
      <c r="AI102" s="195">
        <f t="shared" si="41"/>
        <v>0</v>
      </c>
      <c r="AJ102" s="195">
        <f t="shared" si="41"/>
        <v>0</v>
      </c>
      <c r="AK102" s="195">
        <f t="shared" si="41"/>
        <v>0</v>
      </c>
    </row>
    <row r="103" spans="1:45" ht="12.75" hidden="1" x14ac:dyDescent="0.2">
      <c r="A103" s="196" t="s">
        <v>436</v>
      </c>
      <c r="B103" s="198">
        <v>0.93</v>
      </c>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row>
    <row r="104" spans="1:45" ht="12.75" hidden="1" x14ac:dyDescent="0.2">
      <c r="A104" s="196" t="s">
        <v>437</v>
      </c>
      <c r="B104" s="198">
        <v>4380</v>
      </c>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row>
    <row r="105" spans="1:45" ht="12.75" hidden="1" x14ac:dyDescent="0.2">
      <c r="A105" s="196" t="s">
        <v>438</v>
      </c>
      <c r="B105" s="194">
        <f>$B$124</f>
        <v>0</v>
      </c>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5"/>
      <c r="AK105" s="195"/>
    </row>
    <row r="106" spans="1:45" ht="15" hidden="1" x14ac:dyDescent="0.2">
      <c r="A106" s="199" t="s">
        <v>439</v>
      </c>
      <c r="B106" s="200">
        <v>0</v>
      </c>
      <c r="C106" s="201">
        <v>0.33</v>
      </c>
      <c r="D106" s="201">
        <v>0.33</v>
      </c>
      <c r="E106" s="201">
        <v>0.34</v>
      </c>
      <c r="F106" s="200">
        <v>0</v>
      </c>
      <c r="G106" s="200">
        <v>0</v>
      </c>
      <c r="H106" s="200">
        <v>0</v>
      </c>
      <c r="I106" s="200">
        <v>0</v>
      </c>
      <c r="J106" s="200">
        <v>0</v>
      </c>
      <c r="K106" s="200">
        <v>0</v>
      </c>
      <c r="L106" s="200">
        <v>0</v>
      </c>
      <c r="M106" s="200">
        <v>0</v>
      </c>
      <c r="N106" s="200">
        <v>0</v>
      </c>
      <c r="O106" s="200">
        <v>0</v>
      </c>
      <c r="P106" s="200">
        <v>0</v>
      </c>
      <c r="Q106" s="200">
        <v>0</v>
      </c>
      <c r="R106" s="200">
        <v>0</v>
      </c>
      <c r="S106" s="200">
        <v>0</v>
      </c>
      <c r="T106" s="200">
        <v>0</v>
      </c>
      <c r="U106" s="200">
        <v>0</v>
      </c>
      <c r="V106" s="200">
        <v>0</v>
      </c>
      <c r="W106" s="200">
        <v>0</v>
      </c>
      <c r="X106" s="200">
        <v>0</v>
      </c>
      <c r="Y106" s="200">
        <v>0</v>
      </c>
      <c r="Z106" s="200">
        <v>0</v>
      </c>
      <c r="AA106" s="200">
        <v>0</v>
      </c>
      <c r="AB106" s="200">
        <v>0</v>
      </c>
      <c r="AC106" s="200">
        <v>0</v>
      </c>
      <c r="AD106" s="200">
        <v>0</v>
      </c>
      <c r="AE106" s="200">
        <v>0</v>
      </c>
      <c r="AF106" s="200">
        <v>0</v>
      </c>
      <c r="AG106" s="200">
        <v>0</v>
      </c>
      <c r="AH106" s="200">
        <v>0</v>
      </c>
      <c r="AI106" s="200">
        <v>0</v>
      </c>
      <c r="AJ106" s="200">
        <v>0</v>
      </c>
      <c r="AK106" s="200">
        <v>0</v>
      </c>
    </row>
    <row r="107" spans="1:45" ht="12.75" hidden="1" x14ac:dyDescent="0.2">
      <c r="A107" s="192"/>
      <c r="B107" s="190"/>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c r="AM107" s="190"/>
      <c r="AN107" s="190"/>
      <c r="AO107" s="190"/>
      <c r="AP107" s="190"/>
      <c r="AQ107" s="190"/>
      <c r="AR107" s="190"/>
      <c r="AS107" s="190"/>
    </row>
    <row r="108" spans="1:45" ht="12.75" hidden="1" x14ac:dyDescent="0.2">
      <c r="A108" s="192"/>
      <c r="B108" s="190"/>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c r="AM108" s="190"/>
      <c r="AN108" s="190"/>
      <c r="AO108" s="190"/>
      <c r="AP108" s="190"/>
      <c r="AQ108" s="190"/>
      <c r="AR108" s="190"/>
      <c r="AS108" s="190"/>
    </row>
    <row r="109" spans="1:45" ht="12.75" hidden="1" x14ac:dyDescent="0.2">
      <c r="A109" s="193"/>
      <c r="B109" s="452" t="s">
        <v>440</v>
      </c>
      <c r="C109" s="453"/>
      <c r="D109" s="452" t="s">
        <v>441</v>
      </c>
      <c r="E109" s="453"/>
      <c r="F109" s="193"/>
      <c r="G109" s="193"/>
      <c r="H109" s="193"/>
      <c r="I109" s="193"/>
      <c r="J109" s="193"/>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row>
    <row r="110" spans="1:45" ht="12.75" hidden="1" x14ac:dyDescent="0.2">
      <c r="A110" s="196" t="s">
        <v>442</v>
      </c>
      <c r="B110" s="202"/>
      <c r="C110" s="193" t="s">
        <v>408</v>
      </c>
      <c r="D110" s="202"/>
      <c r="E110" s="193" t="s">
        <v>408</v>
      </c>
      <c r="F110" s="193"/>
      <c r="G110" s="193"/>
      <c r="H110" s="193"/>
      <c r="I110" s="193"/>
      <c r="J110" s="193"/>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row>
    <row r="111" spans="1:45" ht="25.5" hidden="1" x14ac:dyDescent="0.2">
      <c r="A111" s="196" t="s">
        <v>442</v>
      </c>
      <c r="B111" s="193">
        <f>$B$103*B110</f>
        <v>0</v>
      </c>
      <c r="C111" s="193" t="s">
        <v>124</v>
      </c>
      <c r="D111" s="193">
        <f>$B$103*D110</f>
        <v>0</v>
      </c>
      <c r="E111" s="193" t="s">
        <v>124</v>
      </c>
      <c r="F111" s="196" t="s">
        <v>443</v>
      </c>
      <c r="G111" s="193">
        <f>D110-B110</f>
        <v>0</v>
      </c>
      <c r="H111" s="193" t="s">
        <v>408</v>
      </c>
      <c r="I111" s="203">
        <f>$B$103*G111</f>
        <v>0</v>
      </c>
      <c r="J111" s="193" t="s">
        <v>124</v>
      </c>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row>
    <row r="112" spans="1:45" ht="25.5" hidden="1" x14ac:dyDescent="0.2">
      <c r="A112" s="193"/>
      <c r="B112" s="193"/>
      <c r="C112" s="193"/>
      <c r="D112" s="193"/>
      <c r="E112" s="193"/>
      <c r="F112" s="196" t="s">
        <v>444</v>
      </c>
      <c r="G112" s="193">
        <f>I112/$B$103</f>
        <v>0</v>
      </c>
      <c r="H112" s="193" t="s">
        <v>408</v>
      </c>
      <c r="I112" s="202"/>
      <c r="J112" s="193" t="s">
        <v>124</v>
      </c>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row>
    <row r="113" spans="1:45" ht="38.25" hidden="1" x14ac:dyDescent="0.2">
      <c r="A113" s="204"/>
      <c r="B113" s="205"/>
      <c r="C113" s="205"/>
      <c r="D113" s="205"/>
      <c r="E113" s="205"/>
      <c r="F113" s="206" t="s">
        <v>445</v>
      </c>
      <c r="G113" s="203">
        <f>G111</f>
        <v>0</v>
      </c>
      <c r="H113" s="193" t="s">
        <v>408</v>
      </c>
      <c r="I113" s="198">
        <f>I111</f>
        <v>0</v>
      </c>
      <c r="J113" s="193" t="s">
        <v>124</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row>
    <row r="114" spans="1:45" ht="12.75" hidden="1" x14ac:dyDescent="0.2">
      <c r="A114" s="207"/>
      <c r="B114" s="191"/>
      <c r="C114" s="190"/>
      <c r="D114" s="190"/>
      <c r="E114" s="190"/>
      <c r="F114" s="190"/>
      <c r="G114" s="190"/>
      <c r="H114" s="190"/>
      <c r="I114" s="190"/>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row>
    <row r="115" spans="1:45" hidden="1" x14ac:dyDescent="0.2">
      <c r="A115" s="208" t="s">
        <v>446</v>
      </c>
      <c r="B115" s="209"/>
      <c r="C115" s="191"/>
      <c r="D115" s="441" t="s">
        <v>258</v>
      </c>
      <c r="E115" s="274" t="s">
        <v>510</v>
      </c>
      <c r="F115" s="275">
        <v>35</v>
      </c>
      <c r="G115" s="442" t="s">
        <v>511</v>
      </c>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1"/>
      <c r="AR115" s="191"/>
      <c r="AS115" s="191"/>
    </row>
    <row r="116" spans="1:45" hidden="1" x14ac:dyDescent="0.2">
      <c r="A116" s="208" t="s">
        <v>258</v>
      </c>
      <c r="B116" s="210"/>
      <c r="C116" s="191"/>
      <c r="D116" s="441"/>
      <c r="E116" s="274" t="s">
        <v>512</v>
      </c>
      <c r="F116" s="275">
        <v>30</v>
      </c>
      <c r="G116" s="442"/>
      <c r="H116" s="191"/>
      <c r="I116" s="191"/>
      <c r="J116" s="191"/>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1"/>
      <c r="AR116" s="191"/>
      <c r="AS116" s="191"/>
    </row>
    <row r="117" spans="1:45" hidden="1" x14ac:dyDescent="0.2">
      <c r="A117" s="208" t="s">
        <v>447</v>
      </c>
      <c r="B117" s="210"/>
      <c r="C117" s="211" t="s">
        <v>448</v>
      </c>
      <c r="D117" s="441"/>
      <c r="E117" s="274" t="s">
        <v>513</v>
      </c>
      <c r="F117" s="275">
        <v>30</v>
      </c>
      <c r="G117" s="442"/>
      <c r="H117" s="191"/>
      <c r="I117" s="191"/>
      <c r="J117" s="191"/>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1"/>
      <c r="AR117" s="191"/>
      <c r="AS117" s="191"/>
    </row>
    <row r="118" spans="1:45" s="160" customFormat="1" hidden="1" x14ac:dyDescent="0.2">
      <c r="A118" s="212"/>
      <c r="B118" s="213"/>
      <c r="C118" s="214"/>
      <c r="D118" s="441"/>
      <c r="E118" s="274" t="s">
        <v>514</v>
      </c>
      <c r="F118" s="275">
        <v>30</v>
      </c>
      <c r="G118" s="442"/>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row>
    <row r="119" spans="1:45" ht="12.75" hidden="1" x14ac:dyDescent="0.2">
      <c r="A119" s="208" t="s">
        <v>449</v>
      </c>
      <c r="B119" s="216"/>
      <c r="C119" s="191"/>
      <c r="D119" s="191"/>
      <c r="E119" s="191"/>
      <c r="F119" s="191"/>
      <c r="G119" s="191"/>
      <c r="H119" s="191"/>
      <c r="I119" s="191"/>
      <c r="J119" s="191"/>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1"/>
      <c r="AR119" s="191"/>
      <c r="AS119" s="191"/>
    </row>
    <row r="120" spans="1:45" ht="12.75" hidden="1" x14ac:dyDescent="0.2">
      <c r="A120" s="208" t="s">
        <v>450</v>
      </c>
      <c r="B120" s="217"/>
      <c r="C120" s="191"/>
      <c r="D120" s="191"/>
      <c r="E120" s="191"/>
      <c r="F120" s="191"/>
      <c r="G120" s="191"/>
      <c r="H120" s="191"/>
      <c r="I120" s="191"/>
      <c r="J120" s="191"/>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1"/>
      <c r="AR120" s="191"/>
      <c r="AS120" s="191"/>
    </row>
    <row r="121" spans="1:45" ht="12.75" hidden="1" x14ac:dyDescent="0.2">
      <c r="A121" s="207"/>
      <c r="B121" s="218"/>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1"/>
      <c r="AR121" s="191"/>
      <c r="AS121" s="191"/>
    </row>
    <row r="122" spans="1:45" ht="12.75" hidden="1" x14ac:dyDescent="0.2">
      <c r="A122" s="208" t="s">
        <v>451</v>
      </c>
      <c r="B122" s="219"/>
      <c r="C122" s="191"/>
      <c r="D122" s="191"/>
      <c r="E122" s="191"/>
      <c r="F122" s="191"/>
      <c r="G122" s="191"/>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45" hidden="1" x14ac:dyDescent="0.2">
      <c r="A123" s="220"/>
      <c r="B123" s="221"/>
      <c r="C123" s="191"/>
      <c r="D123" s="191"/>
      <c r="E123" s="191"/>
      <c r="F123" s="191"/>
      <c r="G123" s="19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45" ht="12.75" hidden="1" x14ac:dyDescent="0.2">
      <c r="A124" s="276"/>
      <c r="B124" s="277"/>
      <c r="C124" s="215"/>
      <c r="D124" s="191"/>
      <c r="E124" s="191"/>
      <c r="F124" s="191"/>
      <c r="G124" s="191"/>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45" ht="12.75" hidden="1" x14ac:dyDescent="0.2">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45" ht="12.75" hidden="1" x14ac:dyDescent="0.2">
      <c r="A126" s="207"/>
      <c r="B126" s="191"/>
      <c r="C126" s="191"/>
      <c r="D126" s="191"/>
      <c r="E126" s="191"/>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45" hidden="1" x14ac:dyDescent="0.2">
      <c r="A127" s="208" t="s">
        <v>452</v>
      </c>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row>
    <row r="128" spans="1:45" ht="12.75" hidden="1" x14ac:dyDescent="0.2">
      <c r="A128" s="208"/>
      <c r="B128" s="222">
        <v>2021</v>
      </c>
      <c r="C128" s="222">
        <f>B128+1</f>
        <v>2022</v>
      </c>
      <c r="D128" s="222">
        <f t="shared" ref="D128:AK128" si="42">C128+1</f>
        <v>2023</v>
      </c>
      <c r="E128" s="222">
        <f t="shared" si="42"/>
        <v>2024</v>
      </c>
      <c r="F128" s="222">
        <f t="shared" si="42"/>
        <v>2025</v>
      </c>
      <c r="G128" s="222">
        <f t="shared" si="42"/>
        <v>2026</v>
      </c>
      <c r="H128" s="222">
        <f t="shared" si="42"/>
        <v>2027</v>
      </c>
      <c r="I128" s="222">
        <f t="shared" si="42"/>
        <v>2028</v>
      </c>
      <c r="J128" s="222">
        <f t="shared" si="42"/>
        <v>2029</v>
      </c>
      <c r="K128" s="222">
        <f t="shared" si="42"/>
        <v>2030</v>
      </c>
      <c r="L128" s="222">
        <f t="shared" si="42"/>
        <v>2031</v>
      </c>
      <c r="M128" s="222">
        <f t="shared" si="42"/>
        <v>2032</v>
      </c>
      <c r="N128" s="222">
        <f t="shared" si="42"/>
        <v>2033</v>
      </c>
      <c r="O128" s="222">
        <f t="shared" si="42"/>
        <v>2034</v>
      </c>
      <c r="P128" s="222">
        <f t="shared" si="42"/>
        <v>2035</v>
      </c>
      <c r="Q128" s="222">
        <f t="shared" si="42"/>
        <v>2036</v>
      </c>
      <c r="R128" s="222">
        <f t="shared" si="42"/>
        <v>2037</v>
      </c>
      <c r="S128" s="222">
        <f t="shared" si="42"/>
        <v>2038</v>
      </c>
      <c r="T128" s="222">
        <f t="shared" si="42"/>
        <v>2039</v>
      </c>
      <c r="U128" s="222">
        <f t="shared" si="42"/>
        <v>2040</v>
      </c>
      <c r="V128" s="222">
        <f t="shared" si="42"/>
        <v>2041</v>
      </c>
      <c r="W128" s="222">
        <f t="shared" si="42"/>
        <v>2042</v>
      </c>
      <c r="X128" s="222">
        <f t="shared" si="42"/>
        <v>2043</v>
      </c>
      <c r="Y128" s="222">
        <f t="shared" si="42"/>
        <v>2044</v>
      </c>
      <c r="Z128" s="222">
        <f t="shared" si="42"/>
        <v>2045</v>
      </c>
      <c r="AA128" s="222">
        <f t="shared" si="42"/>
        <v>2046</v>
      </c>
      <c r="AB128" s="222">
        <f t="shared" si="42"/>
        <v>2047</v>
      </c>
      <c r="AC128" s="222">
        <f t="shared" si="42"/>
        <v>2048</v>
      </c>
      <c r="AD128" s="222">
        <f t="shared" si="42"/>
        <v>2049</v>
      </c>
      <c r="AE128" s="222">
        <f t="shared" si="42"/>
        <v>2050</v>
      </c>
      <c r="AF128" s="222">
        <f t="shared" si="42"/>
        <v>2051</v>
      </c>
      <c r="AG128" s="222">
        <f t="shared" si="42"/>
        <v>2052</v>
      </c>
      <c r="AH128" s="222">
        <f t="shared" si="42"/>
        <v>2053</v>
      </c>
      <c r="AI128" s="222">
        <f t="shared" si="42"/>
        <v>2054</v>
      </c>
      <c r="AJ128" s="222">
        <f t="shared" si="42"/>
        <v>2055</v>
      </c>
      <c r="AK128" s="222">
        <f t="shared" si="42"/>
        <v>2056</v>
      </c>
      <c r="AL128" s="222">
        <f t="shared" ref="AL128" si="43">AK128+1</f>
        <v>2057</v>
      </c>
      <c r="AM128" s="222">
        <f t="shared" ref="AM128" si="44">AL128+1</f>
        <v>2058</v>
      </c>
    </row>
    <row r="129" spans="1:45" ht="15" hidden="1" x14ac:dyDescent="0.2">
      <c r="A129" s="208" t="s">
        <v>453</v>
      </c>
      <c r="B129" s="280">
        <v>0</v>
      </c>
      <c r="C129" s="280">
        <v>5.1003564654479999E-2</v>
      </c>
      <c r="D129" s="280">
        <v>4.9001762230179997E-2</v>
      </c>
      <c r="E129" s="280">
        <v>4.7000273037249997E-2</v>
      </c>
      <c r="F129" s="280">
        <v>4.7E-2</v>
      </c>
      <c r="G129" s="279">
        <f>F129</f>
        <v>4.7E-2</v>
      </c>
      <c r="H129" s="279">
        <f>G129</f>
        <v>4.7E-2</v>
      </c>
      <c r="I129" s="279">
        <f t="shared" ref="I129:AK129" si="45">H129</f>
        <v>4.7E-2</v>
      </c>
      <c r="J129" s="279">
        <f t="shared" si="45"/>
        <v>4.7E-2</v>
      </c>
      <c r="K129" s="279">
        <f t="shared" si="45"/>
        <v>4.7E-2</v>
      </c>
      <c r="L129" s="279">
        <f t="shared" si="45"/>
        <v>4.7E-2</v>
      </c>
      <c r="M129" s="279">
        <f t="shared" si="45"/>
        <v>4.7E-2</v>
      </c>
      <c r="N129" s="279">
        <f t="shared" si="45"/>
        <v>4.7E-2</v>
      </c>
      <c r="O129" s="279">
        <f t="shared" si="45"/>
        <v>4.7E-2</v>
      </c>
      <c r="P129" s="279">
        <f t="shared" si="45"/>
        <v>4.7E-2</v>
      </c>
      <c r="Q129" s="279">
        <f t="shared" si="45"/>
        <v>4.7E-2</v>
      </c>
      <c r="R129" s="279">
        <f t="shared" si="45"/>
        <v>4.7E-2</v>
      </c>
      <c r="S129" s="279">
        <f t="shared" si="45"/>
        <v>4.7E-2</v>
      </c>
      <c r="T129" s="279">
        <f t="shared" si="45"/>
        <v>4.7E-2</v>
      </c>
      <c r="U129" s="279">
        <f t="shared" si="45"/>
        <v>4.7E-2</v>
      </c>
      <c r="V129" s="279">
        <f t="shared" si="45"/>
        <v>4.7E-2</v>
      </c>
      <c r="W129" s="279">
        <f t="shared" si="45"/>
        <v>4.7E-2</v>
      </c>
      <c r="X129" s="279">
        <f t="shared" si="45"/>
        <v>4.7E-2</v>
      </c>
      <c r="Y129" s="279">
        <f t="shared" si="45"/>
        <v>4.7E-2</v>
      </c>
      <c r="Z129" s="279">
        <f t="shared" si="45"/>
        <v>4.7E-2</v>
      </c>
      <c r="AA129" s="279">
        <f t="shared" si="45"/>
        <v>4.7E-2</v>
      </c>
      <c r="AB129" s="279">
        <f t="shared" si="45"/>
        <v>4.7E-2</v>
      </c>
      <c r="AC129" s="279">
        <f t="shared" si="45"/>
        <v>4.7E-2</v>
      </c>
      <c r="AD129" s="279">
        <f t="shared" si="45"/>
        <v>4.7E-2</v>
      </c>
      <c r="AE129" s="279">
        <f t="shared" si="45"/>
        <v>4.7E-2</v>
      </c>
      <c r="AF129" s="279">
        <f t="shared" si="45"/>
        <v>4.7E-2</v>
      </c>
      <c r="AG129" s="279">
        <f t="shared" si="45"/>
        <v>4.7E-2</v>
      </c>
      <c r="AH129" s="279">
        <f t="shared" si="45"/>
        <v>4.7E-2</v>
      </c>
      <c r="AI129" s="279">
        <f t="shared" si="45"/>
        <v>4.7E-2</v>
      </c>
      <c r="AJ129" s="279">
        <f t="shared" si="45"/>
        <v>4.7E-2</v>
      </c>
      <c r="AK129" s="279">
        <f t="shared" si="45"/>
        <v>4.7E-2</v>
      </c>
      <c r="AL129" s="279">
        <f t="shared" ref="AL129" si="46">AK129</f>
        <v>4.7E-2</v>
      </c>
      <c r="AM129" s="279">
        <f t="shared" ref="AM129" si="47">AL129</f>
        <v>4.7E-2</v>
      </c>
    </row>
    <row r="130" spans="1:45" s="160" customFormat="1" ht="15" hidden="1" x14ac:dyDescent="0.2">
      <c r="A130" s="208" t="s">
        <v>454</v>
      </c>
      <c r="B130" s="280">
        <f>B129</f>
        <v>0</v>
      </c>
      <c r="C130" s="280">
        <f>(1+B130)*(1+C129)-1</f>
        <v>5.1003564654479971E-2</v>
      </c>
      <c r="D130" s="280">
        <f>(1+C130)*(1+D129)-1</f>
        <v>0.10250459143275026</v>
      </c>
      <c r="E130" s="280">
        <f>(1+D130)*(1+E129)-1</f>
        <v>0.1543226082549114</v>
      </c>
      <c r="F130" s="280">
        <f t="shared" ref="F130:AK130" si="48">(1+E130)*(1+F129)-1</f>
        <v>0.20857577084289214</v>
      </c>
      <c r="G130" s="280">
        <f>(1+F130)*(1+G129)-1</f>
        <v>0.2653788320725079</v>
      </c>
      <c r="H130" s="280">
        <f t="shared" si="48"/>
        <v>0.32485163717991572</v>
      </c>
      <c r="I130" s="280">
        <f t="shared" si="48"/>
        <v>0.38711966412737175</v>
      </c>
      <c r="J130" s="280">
        <f t="shared" si="48"/>
        <v>0.45231428834135823</v>
      </c>
      <c r="K130" s="280">
        <f t="shared" si="48"/>
        <v>0.52057305989340197</v>
      </c>
      <c r="L130" s="280">
        <f t="shared" si="48"/>
        <v>0.59203999370839178</v>
      </c>
      <c r="M130" s="280">
        <f t="shared" si="48"/>
        <v>0.66686587341268599</v>
      </c>
      <c r="N130" s="280">
        <f t="shared" si="48"/>
        <v>0.74520856946308212</v>
      </c>
      <c r="O130" s="280">
        <f t="shared" si="48"/>
        <v>0.82723337222784687</v>
      </c>
      <c r="P130" s="280">
        <f t="shared" si="48"/>
        <v>0.91311334072255557</v>
      </c>
      <c r="Q130" s="280">
        <f t="shared" si="48"/>
        <v>1.0030296677365156</v>
      </c>
      <c r="R130" s="280">
        <f t="shared" si="48"/>
        <v>1.0971720621201317</v>
      </c>
      <c r="S130" s="280">
        <f t="shared" si="48"/>
        <v>1.195739149039778</v>
      </c>
      <c r="T130" s="280">
        <f t="shared" si="48"/>
        <v>1.2989388890446474</v>
      </c>
      <c r="U130" s="280">
        <f t="shared" si="48"/>
        <v>1.4069890168297459</v>
      </c>
      <c r="V130" s="280">
        <f t="shared" si="48"/>
        <v>1.5201175006207439</v>
      </c>
      <c r="W130" s="280">
        <f t="shared" si="48"/>
        <v>1.6385630231499189</v>
      </c>
      <c r="X130" s="280">
        <f t="shared" si="48"/>
        <v>1.7625754852379649</v>
      </c>
      <c r="Y130" s="280">
        <f t="shared" si="48"/>
        <v>1.8924165330441491</v>
      </c>
      <c r="Z130" s="280">
        <f t="shared" si="48"/>
        <v>2.0283601100972239</v>
      </c>
      <c r="AA130" s="280">
        <f t="shared" si="48"/>
        <v>2.1706930352717935</v>
      </c>
      <c r="AB130" s="280">
        <f t="shared" si="48"/>
        <v>2.3197156079295675</v>
      </c>
      <c r="AC130" s="280">
        <f t="shared" si="48"/>
        <v>2.4757422415022572</v>
      </c>
      <c r="AD130" s="280">
        <f t="shared" si="48"/>
        <v>2.6391021268528632</v>
      </c>
      <c r="AE130" s="280">
        <f t="shared" si="48"/>
        <v>2.8101399268149474</v>
      </c>
      <c r="AF130" s="280">
        <f t="shared" si="48"/>
        <v>2.9892165033752498</v>
      </c>
      <c r="AG130" s="280">
        <f t="shared" si="48"/>
        <v>3.1767096790338867</v>
      </c>
      <c r="AH130" s="280">
        <f t="shared" si="48"/>
        <v>3.3730150339484792</v>
      </c>
      <c r="AI130" s="280">
        <f t="shared" si="48"/>
        <v>3.5785467405440574</v>
      </c>
      <c r="AJ130" s="280">
        <f t="shared" si="48"/>
        <v>3.7937384373496279</v>
      </c>
      <c r="AK130" s="280">
        <f t="shared" si="48"/>
        <v>4.0190441439050604</v>
      </c>
      <c r="AL130" s="280">
        <f t="shared" ref="AL130" si="49">(1+AK130)*(1+AL129)-1</f>
        <v>4.2549392186685981</v>
      </c>
      <c r="AM130" s="280">
        <f t="shared" ref="AM130" si="50">(1+AL130)*(1+AM129)-1</f>
        <v>4.5019213619460219</v>
      </c>
    </row>
    <row r="131" spans="1:45" s="160" customFormat="1" hidden="1" x14ac:dyDescent="0.2">
      <c r="A131" s="224"/>
      <c r="B131" s="223"/>
      <c r="C131" s="225"/>
      <c r="D131" s="225"/>
      <c r="E131" s="225"/>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row>
    <row r="132" spans="1:45" ht="12.75" hidden="1" x14ac:dyDescent="0.2">
      <c r="A132" s="207"/>
      <c r="B132" s="278">
        <v>2021</v>
      </c>
      <c r="C132" s="278">
        <f>B132+1</f>
        <v>2022</v>
      </c>
      <c r="D132" s="278">
        <f t="shared" ref="D132:S133" si="51">C132+1</f>
        <v>2023</v>
      </c>
      <c r="E132" s="278">
        <f t="shared" si="51"/>
        <v>2024</v>
      </c>
      <c r="F132" s="278">
        <f t="shared" si="51"/>
        <v>2025</v>
      </c>
      <c r="G132" s="278">
        <f t="shared" si="51"/>
        <v>2026</v>
      </c>
      <c r="H132" s="278">
        <f t="shared" si="51"/>
        <v>2027</v>
      </c>
      <c r="I132" s="278">
        <f t="shared" si="51"/>
        <v>2028</v>
      </c>
      <c r="J132" s="278">
        <f t="shared" si="51"/>
        <v>2029</v>
      </c>
      <c r="K132" s="278">
        <f t="shared" si="51"/>
        <v>2030</v>
      </c>
      <c r="L132" s="278">
        <f t="shared" si="51"/>
        <v>2031</v>
      </c>
      <c r="M132" s="278">
        <f t="shared" si="51"/>
        <v>2032</v>
      </c>
      <c r="N132" s="278">
        <f t="shared" si="51"/>
        <v>2033</v>
      </c>
      <c r="O132" s="278">
        <f t="shared" si="51"/>
        <v>2034</v>
      </c>
      <c r="P132" s="278">
        <f t="shared" si="51"/>
        <v>2035</v>
      </c>
      <c r="Q132" s="278">
        <f t="shared" si="51"/>
        <v>2036</v>
      </c>
      <c r="R132" s="278">
        <f t="shared" si="51"/>
        <v>2037</v>
      </c>
      <c r="S132" s="278">
        <f t="shared" si="51"/>
        <v>2038</v>
      </c>
      <c r="T132" s="278">
        <f t="shared" ref="T132:AI133" si="52">S132+1</f>
        <v>2039</v>
      </c>
      <c r="U132" s="278">
        <f t="shared" si="52"/>
        <v>2040</v>
      </c>
      <c r="V132" s="278">
        <f t="shared" si="52"/>
        <v>2041</v>
      </c>
      <c r="W132" s="278">
        <f t="shared" si="52"/>
        <v>2042</v>
      </c>
      <c r="X132" s="278">
        <f t="shared" si="52"/>
        <v>2043</v>
      </c>
      <c r="Y132" s="278">
        <f t="shared" si="52"/>
        <v>2044</v>
      </c>
      <c r="Z132" s="278">
        <f t="shared" si="52"/>
        <v>2045</v>
      </c>
      <c r="AA132" s="278">
        <f t="shared" si="52"/>
        <v>2046</v>
      </c>
      <c r="AB132" s="278">
        <f t="shared" si="52"/>
        <v>2047</v>
      </c>
      <c r="AC132" s="278">
        <f t="shared" si="52"/>
        <v>2048</v>
      </c>
      <c r="AD132" s="278">
        <f t="shared" si="52"/>
        <v>2049</v>
      </c>
      <c r="AE132" s="278">
        <f t="shared" si="52"/>
        <v>2050</v>
      </c>
      <c r="AF132" s="278">
        <f t="shared" si="52"/>
        <v>2051</v>
      </c>
      <c r="AG132" s="278">
        <f t="shared" si="52"/>
        <v>2052</v>
      </c>
      <c r="AH132" s="278">
        <f t="shared" si="52"/>
        <v>2053</v>
      </c>
      <c r="AI132" s="278">
        <f t="shared" si="52"/>
        <v>2054</v>
      </c>
      <c r="AJ132" s="278">
        <f t="shared" ref="AJ132:AK133" si="53">AI132+1</f>
        <v>2055</v>
      </c>
      <c r="AK132" s="278">
        <f t="shared" si="53"/>
        <v>2056</v>
      </c>
      <c r="AL132" s="278">
        <f t="shared" ref="AL132:AL133" si="54">AK132+1</f>
        <v>2057</v>
      </c>
      <c r="AM132" s="278">
        <f t="shared" ref="AM132:AM133" si="55">AL132+1</f>
        <v>2058</v>
      </c>
      <c r="AN132" s="191"/>
      <c r="AO132" s="191"/>
      <c r="AP132" s="191"/>
      <c r="AQ132" s="191"/>
      <c r="AR132" s="191"/>
      <c r="AS132" s="191"/>
    </row>
    <row r="133" spans="1:45" hidden="1" x14ac:dyDescent="0.2">
      <c r="A133" s="207"/>
      <c r="B133" s="281">
        <v>0</v>
      </c>
      <c r="C133" s="281">
        <f>B133+1</f>
        <v>1</v>
      </c>
      <c r="D133" s="281">
        <f>C133+1</f>
        <v>2</v>
      </c>
      <c r="E133" s="281">
        <f>D133+1</f>
        <v>3</v>
      </c>
      <c r="F133" s="281">
        <f t="shared" si="51"/>
        <v>4</v>
      </c>
      <c r="G133" s="281">
        <f t="shared" si="51"/>
        <v>5</v>
      </c>
      <c r="H133" s="281">
        <f t="shared" si="51"/>
        <v>6</v>
      </c>
      <c r="I133" s="281">
        <f t="shared" si="51"/>
        <v>7</v>
      </c>
      <c r="J133" s="281">
        <f t="shared" si="51"/>
        <v>8</v>
      </c>
      <c r="K133" s="281">
        <f t="shared" si="51"/>
        <v>9</v>
      </c>
      <c r="L133" s="281">
        <f t="shared" si="51"/>
        <v>10</v>
      </c>
      <c r="M133" s="281">
        <f t="shared" si="51"/>
        <v>11</v>
      </c>
      <c r="N133" s="281">
        <f t="shared" si="51"/>
        <v>12</v>
      </c>
      <c r="O133" s="281">
        <f t="shared" si="51"/>
        <v>13</v>
      </c>
      <c r="P133" s="281">
        <f t="shared" si="51"/>
        <v>14</v>
      </c>
      <c r="Q133" s="281">
        <f t="shared" si="51"/>
        <v>15</v>
      </c>
      <c r="R133" s="281">
        <f t="shared" si="51"/>
        <v>16</v>
      </c>
      <c r="S133" s="281">
        <f t="shared" si="51"/>
        <v>17</v>
      </c>
      <c r="T133" s="281">
        <f t="shared" si="52"/>
        <v>18</v>
      </c>
      <c r="U133" s="281">
        <f t="shared" si="52"/>
        <v>19</v>
      </c>
      <c r="V133" s="281">
        <f t="shared" si="52"/>
        <v>20</v>
      </c>
      <c r="W133" s="281">
        <f t="shared" si="52"/>
        <v>21</v>
      </c>
      <c r="X133" s="281">
        <f t="shared" si="52"/>
        <v>22</v>
      </c>
      <c r="Y133" s="281">
        <f t="shared" si="52"/>
        <v>23</v>
      </c>
      <c r="Z133" s="281">
        <f t="shared" si="52"/>
        <v>24</v>
      </c>
      <c r="AA133" s="281">
        <f t="shared" si="52"/>
        <v>25</v>
      </c>
      <c r="AB133" s="281">
        <f t="shared" si="52"/>
        <v>26</v>
      </c>
      <c r="AC133" s="281">
        <f t="shared" si="52"/>
        <v>27</v>
      </c>
      <c r="AD133" s="281">
        <f t="shared" si="52"/>
        <v>28</v>
      </c>
      <c r="AE133" s="281">
        <f t="shared" si="52"/>
        <v>29</v>
      </c>
      <c r="AF133" s="281">
        <f t="shared" si="52"/>
        <v>30</v>
      </c>
      <c r="AG133" s="281">
        <f t="shared" si="52"/>
        <v>31</v>
      </c>
      <c r="AH133" s="281">
        <f t="shared" si="52"/>
        <v>32</v>
      </c>
      <c r="AI133" s="281">
        <f t="shared" si="52"/>
        <v>33</v>
      </c>
      <c r="AJ133" s="281">
        <f t="shared" si="53"/>
        <v>34</v>
      </c>
      <c r="AK133" s="281">
        <f t="shared" si="53"/>
        <v>35</v>
      </c>
      <c r="AL133" s="281">
        <f t="shared" si="54"/>
        <v>36</v>
      </c>
      <c r="AM133" s="281">
        <f t="shared" si="55"/>
        <v>37</v>
      </c>
      <c r="AN133" s="191"/>
      <c r="AO133" s="191"/>
      <c r="AP133" s="191"/>
      <c r="AQ133" s="191"/>
      <c r="AR133" s="191"/>
      <c r="AS133" s="191"/>
    </row>
    <row r="134" spans="1:45" ht="15" hidden="1" x14ac:dyDescent="0.2">
      <c r="A134" s="207"/>
      <c r="B134" s="282">
        <v>0</v>
      </c>
      <c r="C134" s="282">
        <f>AVERAGE(B133:C133)</f>
        <v>0.5</v>
      </c>
      <c r="D134" s="282">
        <f>AVERAGE(C133:D133)</f>
        <v>1.5</v>
      </c>
      <c r="E134" s="282">
        <f>AVERAGE(D133:E133)</f>
        <v>2.5</v>
      </c>
      <c r="F134" s="282">
        <f t="shared" ref="F134:AK134" si="56">AVERAGE(E133:F133)</f>
        <v>3.5</v>
      </c>
      <c r="G134" s="282">
        <f t="shared" si="56"/>
        <v>4.5</v>
      </c>
      <c r="H134" s="282">
        <f t="shared" si="56"/>
        <v>5.5</v>
      </c>
      <c r="I134" s="282">
        <f t="shared" si="56"/>
        <v>6.5</v>
      </c>
      <c r="J134" s="282">
        <f t="shared" si="56"/>
        <v>7.5</v>
      </c>
      <c r="K134" s="282">
        <f t="shared" si="56"/>
        <v>8.5</v>
      </c>
      <c r="L134" s="282">
        <f t="shared" si="56"/>
        <v>9.5</v>
      </c>
      <c r="M134" s="282">
        <f t="shared" si="56"/>
        <v>10.5</v>
      </c>
      <c r="N134" s="282">
        <f t="shared" si="56"/>
        <v>11.5</v>
      </c>
      <c r="O134" s="282">
        <f t="shared" si="56"/>
        <v>12.5</v>
      </c>
      <c r="P134" s="282">
        <f t="shared" si="56"/>
        <v>13.5</v>
      </c>
      <c r="Q134" s="282">
        <f t="shared" si="56"/>
        <v>14.5</v>
      </c>
      <c r="R134" s="282">
        <f t="shared" si="56"/>
        <v>15.5</v>
      </c>
      <c r="S134" s="282">
        <f t="shared" si="56"/>
        <v>16.5</v>
      </c>
      <c r="T134" s="282">
        <f t="shared" si="56"/>
        <v>17.5</v>
      </c>
      <c r="U134" s="282">
        <f t="shared" si="56"/>
        <v>18.5</v>
      </c>
      <c r="V134" s="282">
        <f t="shared" si="56"/>
        <v>19.5</v>
      </c>
      <c r="W134" s="282">
        <f t="shared" si="56"/>
        <v>20.5</v>
      </c>
      <c r="X134" s="282">
        <f t="shared" si="56"/>
        <v>21.5</v>
      </c>
      <c r="Y134" s="282">
        <f t="shared" si="56"/>
        <v>22.5</v>
      </c>
      <c r="Z134" s="282">
        <f t="shared" si="56"/>
        <v>23.5</v>
      </c>
      <c r="AA134" s="282">
        <f t="shared" si="56"/>
        <v>24.5</v>
      </c>
      <c r="AB134" s="282">
        <f t="shared" si="56"/>
        <v>25.5</v>
      </c>
      <c r="AC134" s="282">
        <f t="shared" si="56"/>
        <v>26.5</v>
      </c>
      <c r="AD134" s="282">
        <f t="shared" si="56"/>
        <v>27.5</v>
      </c>
      <c r="AE134" s="282">
        <f t="shared" si="56"/>
        <v>28.5</v>
      </c>
      <c r="AF134" s="282">
        <f t="shared" si="56"/>
        <v>29.5</v>
      </c>
      <c r="AG134" s="282">
        <f t="shared" si="56"/>
        <v>30.5</v>
      </c>
      <c r="AH134" s="282">
        <f t="shared" si="56"/>
        <v>31.5</v>
      </c>
      <c r="AI134" s="282">
        <f t="shared" si="56"/>
        <v>32.5</v>
      </c>
      <c r="AJ134" s="282">
        <f t="shared" si="56"/>
        <v>33.5</v>
      </c>
      <c r="AK134" s="282">
        <f t="shared" si="56"/>
        <v>34.5</v>
      </c>
      <c r="AL134" s="282">
        <f t="shared" ref="AL134" si="57">AVERAGE(AK133:AL133)</f>
        <v>35.5</v>
      </c>
      <c r="AM134" s="282">
        <f t="shared" ref="AM134" si="58">AVERAGE(AL133:AM133)</f>
        <v>36.5</v>
      </c>
      <c r="AN134" s="191"/>
      <c r="AO134" s="191"/>
      <c r="AP134" s="191"/>
      <c r="AQ134" s="191"/>
      <c r="AR134" s="191"/>
      <c r="AS134" s="191"/>
    </row>
    <row r="135" spans="1:45" ht="12.75" x14ac:dyDescent="0.2">
      <c r="A135" s="207"/>
      <c r="B135" s="191"/>
      <c r="C135" s="191"/>
      <c r="D135" s="191"/>
      <c r="E135" s="191"/>
      <c r="F135" s="191"/>
      <c r="G135" s="191"/>
      <c r="H135" s="191"/>
      <c r="I135" s="191"/>
      <c r="J135" s="191"/>
      <c r="K135" s="191"/>
      <c r="L135" s="191"/>
      <c r="M135" s="191"/>
      <c r="N135" s="191"/>
      <c r="O135" s="191"/>
      <c r="P135" s="191"/>
      <c r="Q135" s="191"/>
      <c r="R135" s="191"/>
      <c r="S135" s="191"/>
      <c r="T135" s="191"/>
      <c r="U135" s="191"/>
      <c r="V135" s="191"/>
      <c r="W135" s="191"/>
      <c r="X135" s="191"/>
      <c r="Y135" s="191"/>
      <c r="Z135" s="191"/>
      <c r="AA135" s="191"/>
      <c r="AB135" s="191"/>
      <c r="AC135" s="191"/>
      <c r="AD135" s="191"/>
      <c r="AE135" s="191"/>
      <c r="AF135" s="191"/>
      <c r="AG135" s="191"/>
      <c r="AH135" s="191"/>
      <c r="AI135" s="191"/>
      <c r="AJ135" s="191"/>
      <c r="AK135" s="191"/>
      <c r="AL135" s="191"/>
      <c r="AM135" s="191"/>
      <c r="AN135" s="191"/>
      <c r="AO135" s="191"/>
      <c r="AP135" s="191"/>
      <c r="AQ135" s="191"/>
      <c r="AR135" s="191"/>
      <c r="AS135" s="191"/>
    </row>
    <row r="136" spans="1:45" ht="12.75" x14ac:dyDescent="0.2">
      <c r="A136" s="207"/>
      <c r="B136" s="191"/>
      <c r="C136" s="191"/>
      <c r="D136" s="191"/>
      <c r="E136" s="191"/>
      <c r="F136" s="191"/>
      <c r="G136" s="191"/>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c r="AN136" s="191"/>
      <c r="AO136" s="191"/>
      <c r="AP136" s="191"/>
      <c r="AQ136" s="191"/>
      <c r="AR136" s="191"/>
      <c r="AS136" s="191"/>
    </row>
    <row r="137" spans="1:45" ht="12.75" x14ac:dyDescent="0.2">
      <c r="A137" s="207"/>
      <c r="B137" s="191"/>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91"/>
      <c r="AR137" s="191"/>
      <c r="AS137" s="191"/>
    </row>
    <row r="138" spans="1:45" ht="12.75" x14ac:dyDescent="0.2">
      <c r="A138" s="207"/>
      <c r="B138" s="191"/>
      <c r="C138" s="191"/>
      <c r="D138" s="191"/>
      <c r="E138" s="191"/>
      <c r="F138" s="191"/>
      <c r="G138" s="191"/>
      <c r="H138" s="191"/>
      <c r="I138" s="191"/>
      <c r="J138" s="191"/>
      <c r="K138" s="191"/>
      <c r="L138" s="191"/>
      <c r="M138" s="191"/>
      <c r="N138" s="191"/>
      <c r="O138" s="191"/>
      <c r="P138" s="191"/>
      <c r="Q138" s="191"/>
      <c r="R138" s="191"/>
      <c r="S138" s="191"/>
      <c r="T138" s="191"/>
      <c r="U138" s="191"/>
      <c r="V138" s="191"/>
      <c r="W138" s="191"/>
      <c r="X138" s="191"/>
      <c r="Y138" s="191"/>
      <c r="Z138" s="191"/>
      <c r="AA138" s="191"/>
      <c r="AB138" s="191"/>
      <c r="AC138" s="191"/>
      <c r="AD138" s="191"/>
      <c r="AE138" s="191"/>
      <c r="AF138" s="191"/>
      <c r="AG138" s="191"/>
      <c r="AH138" s="191"/>
      <c r="AI138" s="191"/>
      <c r="AJ138" s="191"/>
      <c r="AK138" s="191"/>
      <c r="AL138" s="191"/>
      <c r="AM138" s="191"/>
      <c r="AN138" s="191"/>
      <c r="AO138" s="191"/>
      <c r="AP138" s="191"/>
      <c r="AQ138" s="191"/>
      <c r="AR138" s="191"/>
      <c r="AS138" s="191"/>
    </row>
    <row r="139" spans="1:45" ht="12.75" x14ac:dyDescent="0.2">
      <c r="A139" s="207"/>
      <c r="B139" s="191"/>
      <c r="C139" s="191"/>
      <c r="D139" s="191"/>
      <c r="E139" s="191"/>
      <c r="F139" s="191"/>
      <c r="G139" s="191"/>
      <c r="H139" s="191"/>
      <c r="I139" s="191"/>
      <c r="J139" s="191"/>
      <c r="K139" s="191"/>
      <c r="L139" s="191"/>
      <c r="M139" s="191"/>
      <c r="N139" s="191"/>
      <c r="O139" s="191"/>
      <c r="P139" s="191"/>
      <c r="Q139" s="191"/>
      <c r="R139" s="191"/>
      <c r="S139" s="191"/>
      <c r="T139" s="191"/>
      <c r="U139" s="191"/>
      <c r="V139" s="191"/>
      <c r="W139" s="191"/>
      <c r="X139" s="191"/>
      <c r="Y139" s="191"/>
      <c r="Z139" s="191"/>
      <c r="AA139" s="191"/>
      <c r="AB139" s="191"/>
      <c r="AC139" s="191"/>
      <c r="AD139" s="191"/>
      <c r="AE139" s="191"/>
      <c r="AF139" s="191"/>
      <c r="AG139" s="191"/>
      <c r="AH139" s="191"/>
      <c r="AI139" s="191"/>
      <c r="AJ139" s="191"/>
      <c r="AK139" s="191"/>
      <c r="AL139" s="191"/>
      <c r="AM139" s="191"/>
      <c r="AN139" s="191"/>
      <c r="AO139" s="191"/>
      <c r="AP139" s="191"/>
      <c r="AQ139" s="191"/>
      <c r="AR139" s="191"/>
      <c r="AS139" s="191"/>
    </row>
    <row r="140" spans="1:45" ht="12.75" x14ac:dyDescent="0.2">
      <c r="A140" s="207"/>
      <c r="B140" s="191"/>
      <c r="C140" s="191"/>
      <c r="D140" s="191"/>
      <c r="E140" s="191"/>
      <c r="F140" s="191"/>
      <c r="G140" s="191"/>
      <c r="H140" s="191"/>
      <c r="I140" s="191"/>
      <c r="J140" s="191"/>
      <c r="K140" s="191"/>
      <c r="L140" s="191"/>
      <c r="M140" s="191"/>
      <c r="N140" s="191"/>
      <c r="O140" s="191"/>
      <c r="P140" s="191"/>
      <c r="Q140" s="191"/>
      <c r="R140" s="191"/>
      <c r="S140" s="191"/>
      <c r="T140" s="191"/>
      <c r="U140" s="191"/>
      <c r="V140" s="191"/>
      <c r="W140" s="191"/>
      <c r="X140" s="191"/>
      <c r="Y140" s="191"/>
      <c r="Z140" s="191"/>
      <c r="AA140" s="191"/>
      <c r="AB140" s="191"/>
      <c r="AC140" s="191"/>
      <c r="AD140" s="191"/>
      <c r="AE140" s="191"/>
      <c r="AF140" s="191"/>
      <c r="AG140" s="191"/>
      <c r="AH140" s="191"/>
      <c r="AI140" s="191"/>
      <c r="AJ140" s="191"/>
      <c r="AK140" s="191"/>
      <c r="AL140" s="191"/>
      <c r="AM140" s="191"/>
      <c r="AN140" s="191"/>
      <c r="AO140" s="191"/>
      <c r="AP140" s="191"/>
      <c r="AQ140" s="191"/>
      <c r="AR140" s="191"/>
      <c r="AS140" s="191"/>
    </row>
    <row r="141" spans="1:45" ht="12.75" x14ac:dyDescent="0.2">
      <c r="A141" s="207"/>
      <c r="B141" s="191"/>
      <c r="C141" s="191"/>
      <c r="D141" s="191"/>
      <c r="E141" s="191"/>
      <c r="F141" s="191"/>
      <c r="G141" s="191"/>
      <c r="H141" s="191"/>
      <c r="I141" s="191"/>
      <c r="J141" s="191"/>
      <c r="K141" s="191"/>
      <c r="L141" s="191"/>
      <c r="M141" s="191"/>
      <c r="N141" s="191"/>
      <c r="O141" s="191"/>
      <c r="P141" s="191"/>
      <c r="Q141" s="191"/>
      <c r="R141" s="191"/>
      <c r="S141" s="191"/>
      <c r="T141" s="191"/>
      <c r="U141" s="191"/>
      <c r="V141" s="191"/>
      <c r="W141" s="191"/>
      <c r="X141" s="191"/>
      <c r="Y141" s="191"/>
      <c r="Z141" s="191"/>
      <c r="AA141" s="191"/>
      <c r="AB141" s="191"/>
      <c r="AC141" s="191"/>
      <c r="AD141" s="191"/>
      <c r="AE141" s="191"/>
      <c r="AF141" s="191"/>
      <c r="AG141" s="191"/>
      <c r="AH141" s="191"/>
      <c r="AI141" s="191"/>
      <c r="AJ141" s="191"/>
      <c r="AK141" s="191"/>
      <c r="AL141" s="191"/>
      <c r="AM141" s="191"/>
      <c r="AN141" s="191"/>
      <c r="AO141" s="191"/>
      <c r="AP141" s="191"/>
      <c r="AQ141" s="191"/>
      <c r="AR141" s="191"/>
      <c r="AS141" s="191"/>
    </row>
    <row r="142" spans="1:45" ht="12.75" x14ac:dyDescent="0.2">
      <c r="A142" s="207"/>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Q142" s="191"/>
      <c r="AR142" s="191"/>
      <c r="AS142" s="191"/>
    </row>
    <row r="143" spans="1:45" ht="12.75" x14ac:dyDescent="0.2">
      <c r="A143" s="207"/>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45" ht="12.75" x14ac:dyDescent="0.2">
      <c r="A144" s="207"/>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45" ht="12.75" x14ac:dyDescent="0.2">
      <c r="A145" s="207"/>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45" ht="12.75" x14ac:dyDescent="0.2">
      <c r="A146" s="207"/>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45" ht="12.75" x14ac:dyDescent="0.2">
      <c r="A147" s="207"/>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45" ht="12.75" x14ac:dyDescent="0.2">
      <c r="A148" s="207"/>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45"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45"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45"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45"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45"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45"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45"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45" ht="12.75"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row>
    <row r="157" spans="1:45" ht="12.75"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row>
    <row r="158" spans="1:45" ht="12.75" x14ac:dyDescent="0.2">
      <c r="A158" s="192"/>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row>
    <row r="159" spans="1:45" ht="12.75" x14ac:dyDescent="0.2">
      <c r="A159" s="192"/>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0"/>
      <c r="AR159" s="190"/>
      <c r="AS159" s="190"/>
    </row>
    <row r="160" spans="1:45" ht="12.75" x14ac:dyDescent="0.2">
      <c r="A160" s="192"/>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0"/>
      <c r="AR160" s="190"/>
      <c r="AS160" s="190"/>
    </row>
    <row r="161" spans="1:45" ht="12.75" x14ac:dyDescent="0.2">
      <c r="A161" s="192"/>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0"/>
      <c r="AR161" s="190"/>
      <c r="AS161" s="190"/>
    </row>
    <row r="162" spans="1:45" ht="12.75" x14ac:dyDescent="0.2">
      <c r="A162" s="192"/>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0"/>
      <c r="AR162" s="190"/>
      <c r="AS162" s="190"/>
    </row>
    <row r="163" spans="1:45" ht="12.75" x14ac:dyDescent="0.2">
      <c r="A163" s="192"/>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0"/>
      <c r="AR163" s="190"/>
      <c r="AS163" s="190"/>
    </row>
    <row r="164" spans="1:45" ht="12.75" x14ac:dyDescent="0.2">
      <c r="A164" s="192"/>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0"/>
      <c r="AR164" s="190"/>
      <c r="AS164" s="190"/>
    </row>
    <row r="165" spans="1:45" ht="12.75" x14ac:dyDescent="0.2">
      <c r="A165" s="192"/>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0"/>
      <c r="AR165" s="190"/>
      <c r="AS165" s="190"/>
    </row>
    <row r="166" spans="1:45" ht="12.75" x14ac:dyDescent="0.2">
      <c r="A166" s="192"/>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0"/>
      <c r="AR166" s="190"/>
      <c r="AS166" s="190"/>
    </row>
    <row r="167" spans="1:45" ht="12.75" x14ac:dyDescent="0.2">
      <c r="A167" s="192"/>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0"/>
      <c r="AR167" s="190"/>
      <c r="AS167" s="190"/>
    </row>
    <row r="168" spans="1:45" ht="12.75" x14ac:dyDescent="0.2">
      <c r="A168" s="192"/>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0"/>
      <c r="AR168" s="190"/>
      <c r="AS168" s="190"/>
    </row>
    <row r="169" spans="1:45" ht="12.75" x14ac:dyDescent="0.2">
      <c r="A169" s="192"/>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0"/>
      <c r="AR169" s="190"/>
      <c r="AS169" s="190"/>
    </row>
    <row r="170" spans="1:45" ht="12.75" x14ac:dyDescent="0.2">
      <c r="A170" s="192"/>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0"/>
      <c r="AR170" s="190"/>
      <c r="AS170" s="190"/>
    </row>
    <row r="171" spans="1:45" ht="12.75" x14ac:dyDescent="0.2">
      <c r="A171" s="192"/>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0"/>
      <c r="AR171" s="190"/>
      <c r="AS171" s="190"/>
    </row>
    <row r="172" spans="1:45" ht="12.75" x14ac:dyDescent="0.2">
      <c r="A172" s="192"/>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0"/>
      <c r="AR172" s="190"/>
      <c r="AS172" s="190"/>
    </row>
    <row r="173" spans="1:45" ht="12.75" x14ac:dyDescent="0.2">
      <c r="A173" s="192"/>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0"/>
      <c r="AR173" s="190"/>
      <c r="AS173" s="190"/>
    </row>
    <row r="174" spans="1:45" ht="12.75" x14ac:dyDescent="0.2">
      <c r="A174" s="192"/>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0"/>
      <c r="AR174" s="190"/>
      <c r="AS174" s="190"/>
    </row>
    <row r="175" spans="1:45" ht="12.75" x14ac:dyDescent="0.2">
      <c r="A175" s="192"/>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0"/>
      <c r="AR175" s="190"/>
      <c r="AS175" s="190"/>
    </row>
    <row r="176" spans="1:45" ht="12.75" x14ac:dyDescent="0.2">
      <c r="A176" s="192"/>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0"/>
      <c r="AR176" s="190"/>
      <c r="AS176" s="190"/>
    </row>
    <row r="177" spans="1:45" ht="12.75" x14ac:dyDescent="0.2">
      <c r="A177" s="192"/>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0"/>
      <c r="AR177" s="190"/>
      <c r="AS177" s="190"/>
    </row>
    <row r="178" spans="1:45" ht="12.75" x14ac:dyDescent="0.2">
      <c r="A178" s="192"/>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row>
    <row r="179" spans="1:45" ht="12.75" x14ac:dyDescent="0.2">
      <c r="A179" s="192"/>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row>
    <row r="180" spans="1:45" ht="12.75" x14ac:dyDescent="0.2">
      <c r="A180" s="192"/>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row>
    <row r="181" spans="1:45" ht="12.75" x14ac:dyDescent="0.2">
      <c r="A181" s="192"/>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row>
    <row r="182" spans="1:45" ht="12.75" x14ac:dyDescent="0.2">
      <c r="A182" s="192"/>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row>
    <row r="183" spans="1:45" ht="12.75" x14ac:dyDescent="0.2">
      <c r="A183" s="192"/>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row>
    <row r="184" spans="1:45" ht="12.75" x14ac:dyDescent="0.2">
      <c r="A184" s="192"/>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0"/>
      <c r="AR184" s="190"/>
      <c r="AS184" s="190"/>
    </row>
    <row r="185" spans="1:45" ht="12.75" x14ac:dyDescent="0.2">
      <c r="A185" s="192"/>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row>
    <row r="186" spans="1:45" ht="12.75" x14ac:dyDescent="0.2">
      <c r="A186" s="192"/>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0"/>
      <c r="AR186" s="190"/>
      <c r="AS186" s="190"/>
    </row>
    <row r="187" spans="1:45" ht="12.75" x14ac:dyDescent="0.2">
      <c r="A187" s="192"/>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0"/>
      <c r="AR187" s="190"/>
      <c r="AS187" s="190"/>
    </row>
    <row r="188" spans="1:45" ht="12.75" x14ac:dyDescent="0.2">
      <c r="A188" s="192"/>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0"/>
      <c r="AR188" s="190"/>
      <c r="AS188" s="190"/>
    </row>
    <row r="189" spans="1:45" ht="12.75" x14ac:dyDescent="0.2">
      <c r="A189" s="192"/>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row>
    <row r="190" spans="1:45" ht="12.75" x14ac:dyDescent="0.2">
      <c r="A190" s="192"/>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0"/>
      <c r="AR190" s="190"/>
      <c r="AS190" s="190"/>
    </row>
    <row r="191" spans="1:45" ht="12.75" x14ac:dyDescent="0.2">
      <c r="A191" s="192"/>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row>
    <row r="192" spans="1:45" ht="12.75" x14ac:dyDescent="0.2">
      <c r="A192" s="192"/>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row>
    <row r="193" spans="1:45" ht="12.75" x14ac:dyDescent="0.2">
      <c r="A193" s="192"/>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row>
    <row r="194" spans="1:45" ht="12.75" x14ac:dyDescent="0.2">
      <c r="A194" s="192"/>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row>
    <row r="195" spans="1:45" ht="12.75" x14ac:dyDescent="0.2">
      <c r="A195" s="192"/>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row>
    <row r="196" spans="1:45" ht="12.75" x14ac:dyDescent="0.2">
      <c r="A196" s="192"/>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0"/>
      <c r="AR196" s="190"/>
      <c r="AS196" s="190"/>
    </row>
    <row r="197" spans="1:45" ht="12.75" x14ac:dyDescent="0.2">
      <c r="A197" s="192"/>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row>
    <row r="198" spans="1:45" ht="12.75" x14ac:dyDescent="0.2">
      <c r="A198" s="192"/>
      <c r="B198" s="190"/>
      <c r="C198" s="190"/>
      <c r="D198" s="190"/>
      <c r="E198" s="190"/>
      <c r="F198" s="190"/>
      <c r="G198" s="190"/>
      <c r="H198" s="190"/>
      <c r="I198" s="190"/>
      <c r="J198" s="190"/>
      <c r="K198" s="190"/>
      <c r="L198" s="190"/>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190"/>
      <c r="AR198" s="190"/>
      <c r="AS198" s="190"/>
    </row>
    <row r="199" spans="1:45" ht="12.75" x14ac:dyDescent="0.2">
      <c r="A199" s="192"/>
      <c r="B199" s="190"/>
      <c r="C199" s="190"/>
      <c r="D199" s="190"/>
      <c r="E199" s="190"/>
      <c r="F199" s="190"/>
      <c r="G199" s="190"/>
      <c r="H199" s="190"/>
      <c r="I199" s="190"/>
      <c r="J199" s="190"/>
      <c r="K199" s="190"/>
      <c r="L199" s="190"/>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row>
    <row r="200" spans="1:45" ht="12.75" x14ac:dyDescent="0.2">
      <c r="A200" s="192"/>
      <c r="B200" s="190"/>
      <c r="C200" s="190"/>
      <c r="D200" s="190"/>
      <c r="E200" s="190"/>
      <c r="F200" s="190"/>
      <c r="G200" s="190"/>
      <c r="H200" s="190"/>
      <c r="I200" s="190"/>
      <c r="J200" s="190"/>
      <c r="K200" s="190"/>
      <c r="L200" s="190"/>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c r="AM200" s="190"/>
      <c r="AN200" s="190"/>
      <c r="AO200" s="190"/>
      <c r="AP200" s="190"/>
      <c r="AQ200" s="190"/>
      <c r="AR200" s="190"/>
      <c r="AS200" s="190"/>
    </row>
    <row r="201" spans="1:45" ht="12.75" x14ac:dyDescent="0.2">
      <c r="A201" s="192"/>
      <c r="B201" s="190"/>
      <c r="C201" s="190"/>
      <c r="D201" s="190"/>
      <c r="E201" s="190"/>
      <c r="F201" s="190"/>
      <c r="G201" s="190"/>
      <c r="H201" s="190"/>
      <c r="I201" s="190"/>
      <c r="J201" s="190"/>
      <c r="K201" s="190"/>
      <c r="L201" s="190"/>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row>
  </sheetData>
  <mergeCells count="22">
    <mergeCell ref="D29:F29"/>
    <mergeCell ref="G29:H29"/>
    <mergeCell ref="A5:P5"/>
    <mergeCell ref="A7:P7"/>
    <mergeCell ref="A9:P9"/>
    <mergeCell ref="A10:P10"/>
    <mergeCell ref="A12:P12"/>
    <mergeCell ref="A13:P13"/>
    <mergeCell ref="A15:P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12" zoomScale="80" zoomScaleNormal="100" zoomScaleSheetLayoutView="80" workbookViewId="0">
      <selection activeCell="I29" sqref="I29"/>
    </sheetView>
  </sheetViews>
  <sheetFormatPr defaultRowHeight="15" x14ac:dyDescent="0.25"/>
  <cols>
    <col min="2" max="2" width="37.7109375" customWidth="1"/>
    <col min="3" max="4" width="15.7109375" style="131"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1"/>
      <c r="B1" s="51"/>
      <c r="C1" s="51"/>
      <c r="D1" s="51"/>
      <c r="E1" s="51"/>
      <c r="F1" s="51"/>
      <c r="G1" s="51"/>
      <c r="H1" s="51"/>
      <c r="I1" s="51"/>
      <c r="J1" s="51"/>
      <c r="K1" s="51"/>
      <c r="L1" s="35" t="s">
        <v>65</v>
      </c>
    </row>
    <row r="2" spans="1:12" ht="18.75" x14ac:dyDescent="0.3">
      <c r="A2" s="51"/>
      <c r="B2" s="51"/>
      <c r="C2" s="51"/>
      <c r="D2" s="51"/>
      <c r="E2" s="51"/>
      <c r="F2" s="51"/>
      <c r="G2" s="51"/>
      <c r="H2" s="51"/>
      <c r="I2" s="51"/>
      <c r="J2" s="51"/>
      <c r="K2" s="51"/>
      <c r="L2" s="13" t="s">
        <v>7</v>
      </c>
    </row>
    <row r="3" spans="1:12" ht="18.75" x14ac:dyDescent="0.3">
      <c r="A3" s="51"/>
      <c r="B3" s="51"/>
      <c r="C3" s="51"/>
      <c r="D3" s="51"/>
      <c r="E3" s="51"/>
      <c r="F3" s="51"/>
      <c r="G3" s="51"/>
      <c r="H3" s="51"/>
      <c r="I3" s="51"/>
      <c r="J3" s="51"/>
      <c r="K3" s="51"/>
      <c r="L3" s="13" t="s">
        <v>64</v>
      </c>
    </row>
    <row r="4" spans="1:12" ht="18.75" x14ac:dyDescent="0.3">
      <c r="A4" s="51"/>
      <c r="B4" s="51"/>
      <c r="C4" s="51"/>
      <c r="D4" s="51"/>
      <c r="E4" s="51"/>
      <c r="F4" s="51"/>
      <c r="G4" s="51"/>
      <c r="H4" s="51"/>
      <c r="I4" s="51"/>
      <c r="J4" s="51"/>
      <c r="K4" s="13"/>
      <c r="L4" s="51"/>
    </row>
    <row r="5" spans="1:12" ht="15.75" x14ac:dyDescent="0.25">
      <c r="A5" s="386" t="str">
        <f>'4. паспортбюджет'!A5:O5</f>
        <v>Год раскрытия информации: 2023 год</v>
      </c>
      <c r="B5" s="386"/>
      <c r="C5" s="386"/>
      <c r="D5" s="386"/>
      <c r="E5" s="386"/>
      <c r="F5" s="386"/>
      <c r="G5" s="386"/>
      <c r="H5" s="386"/>
      <c r="I5" s="386"/>
      <c r="J5" s="386"/>
      <c r="K5" s="386"/>
      <c r="L5" s="386"/>
    </row>
    <row r="6" spans="1:12" ht="18.75" x14ac:dyDescent="0.3">
      <c r="A6" s="51"/>
      <c r="B6" s="51"/>
      <c r="C6" s="51"/>
      <c r="D6" s="51"/>
      <c r="E6" s="51"/>
      <c r="F6" s="51"/>
      <c r="G6" s="51"/>
      <c r="H6" s="51"/>
      <c r="I6" s="51"/>
      <c r="J6" s="51"/>
      <c r="K6" s="13"/>
      <c r="L6" s="51"/>
    </row>
    <row r="7" spans="1:12" ht="18.75" x14ac:dyDescent="0.25">
      <c r="A7" s="432" t="s">
        <v>6</v>
      </c>
      <c r="B7" s="432"/>
      <c r="C7" s="432"/>
      <c r="D7" s="432"/>
      <c r="E7" s="432"/>
      <c r="F7" s="432"/>
      <c r="G7" s="432"/>
      <c r="H7" s="432"/>
      <c r="I7" s="432"/>
      <c r="J7" s="432"/>
      <c r="K7" s="432"/>
      <c r="L7" s="432"/>
    </row>
    <row r="8" spans="1:12" ht="18.75" x14ac:dyDescent="0.25">
      <c r="A8" s="432"/>
      <c r="B8" s="432"/>
      <c r="C8" s="432"/>
      <c r="D8" s="432"/>
      <c r="E8" s="432"/>
      <c r="F8" s="432"/>
      <c r="G8" s="432"/>
      <c r="H8" s="432"/>
      <c r="I8" s="432"/>
      <c r="J8" s="432"/>
      <c r="K8" s="432"/>
      <c r="L8" s="432"/>
    </row>
    <row r="9" spans="1:12" x14ac:dyDescent="0.25">
      <c r="A9" s="433" t="str">
        <f>'4. паспортбюджет'!A9:O9</f>
        <v>Акционерное общество "Россети Янтарь"</v>
      </c>
      <c r="B9" s="433"/>
      <c r="C9" s="433"/>
      <c r="D9" s="433"/>
      <c r="E9" s="433"/>
      <c r="F9" s="433"/>
      <c r="G9" s="433"/>
      <c r="H9" s="433"/>
      <c r="I9" s="433"/>
      <c r="J9" s="433"/>
      <c r="K9" s="433"/>
      <c r="L9" s="433"/>
    </row>
    <row r="10" spans="1:12" ht="15.75" x14ac:dyDescent="0.25">
      <c r="A10" s="383" t="s">
        <v>5</v>
      </c>
      <c r="B10" s="383"/>
      <c r="C10" s="383"/>
      <c r="D10" s="383"/>
      <c r="E10" s="383"/>
      <c r="F10" s="383"/>
      <c r="G10" s="383"/>
      <c r="H10" s="383"/>
      <c r="I10" s="383"/>
      <c r="J10" s="383"/>
      <c r="K10" s="383"/>
      <c r="L10" s="383"/>
    </row>
    <row r="11" spans="1:12" ht="18.75" x14ac:dyDescent="0.25">
      <c r="A11" s="432"/>
      <c r="B11" s="432"/>
      <c r="C11" s="432"/>
      <c r="D11" s="432"/>
      <c r="E11" s="432"/>
      <c r="F11" s="432"/>
      <c r="G11" s="432"/>
      <c r="H11" s="432"/>
      <c r="I11" s="432"/>
      <c r="J11" s="432"/>
      <c r="K11" s="432"/>
      <c r="L11" s="432"/>
    </row>
    <row r="12" spans="1:12" x14ac:dyDescent="0.25">
      <c r="A12" s="433" t="str">
        <f>'4. паспортбюджет'!A12:O12</f>
        <v>L_16-0257</v>
      </c>
      <c r="B12" s="433"/>
      <c r="C12" s="433"/>
      <c r="D12" s="433"/>
      <c r="E12" s="433"/>
      <c r="F12" s="433"/>
      <c r="G12" s="433"/>
      <c r="H12" s="433"/>
      <c r="I12" s="433"/>
      <c r="J12" s="433"/>
      <c r="K12" s="433"/>
      <c r="L12" s="433"/>
    </row>
    <row r="13" spans="1:12" ht="15.75" x14ac:dyDescent="0.25">
      <c r="A13" s="383" t="s">
        <v>4</v>
      </c>
      <c r="B13" s="383"/>
      <c r="C13" s="383"/>
      <c r="D13" s="383"/>
      <c r="E13" s="383"/>
      <c r="F13" s="383"/>
      <c r="G13" s="383"/>
      <c r="H13" s="383"/>
      <c r="I13" s="383"/>
      <c r="J13" s="383"/>
      <c r="K13" s="383"/>
      <c r="L13" s="383"/>
    </row>
    <row r="14" spans="1:12" ht="18.75" x14ac:dyDescent="0.25">
      <c r="A14" s="434"/>
      <c r="B14" s="434"/>
      <c r="C14" s="434"/>
      <c r="D14" s="434"/>
      <c r="E14" s="434"/>
      <c r="F14" s="434"/>
      <c r="G14" s="434"/>
      <c r="H14" s="434"/>
      <c r="I14" s="434"/>
      <c r="J14" s="434"/>
      <c r="K14" s="434"/>
      <c r="L14" s="434"/>
    </row>
    <row r="15" spans="1:12" ht="47.25" customHeight="1" x14ac:dyDescent="0.25">
      <c r="A15" s="435" t="str">
        <f>'4. паспортбюджет'!A15:O15</f>
        <v>Строительство КЛ 15 кВ взамен существующей ВЛ 15 кВ № 15-21 (инв. № 5114657) протяженностью 1,7 км в Гурьевском районе</v>
      </c>
      <c r="B15" s="435"/>
      <c r="C15" s="435"/>
      <c r="D15" s="435"/>
      <c r="E15" s="435"/>
      <c r="F15" s="435"/>
      <c r="G15" s="435"/>
      <c r="H15" s="435"/>
      <c r="I15" s="435"/>
      <c r="J15" s="435"/>
      <c r="K15" s="435"/>
      <c r="L15" s="435"/>
    </row>
    <row r="16" spans="1:12" ht="15.75" x14ac:dyDescent="0.25">
      <c r="A16" s="383" t="s">
        <v>3</v>
      </c>
      <c r="B16" s="383"/>
      <c r="C16" s="383"/>
      <c r="D16" s="383"/>
      <c r="E16" s="383"/>
      <c r="F16" s="383"/>
      <c r="G16" s="383"/>
      <c r="H16" s="383"/>
      <c r="I16" s="383"/>
      <c r="J16" s="383"/>
      <c r="K16" s="383"/>
      <c r="L16" s="383"/>
    </row>
    <row r="17" spans="1:12" ht="15.75" x14ac:dyDescent="0.25">
      <c r="A17" s="51"/>
      <c r="B17" s="51"/>
      <c r="C17" s="51"/>
      <c r="D17" s="51"/>
      <c r="E17" s="51"/>
      <c r="F17" s="51"/>
      <c r="G17" s="51"/>
      <c r="H17" s="51"/>
      <c r="I17" s="51"/>
      <c r="J17" s="51"/>
      <c r="K17" s="51"/>
      <c r="L17" s="133"/>
    </row>
    <row r="18" spans="1:12" ht="15.75" x14ac:dyDescent="0.25">
      <c r="A18" s="51"/>
      <c r="B18" s="51"/>
      <c r="C18" s="51"/>
      <c r="D18" s="51"/>
      <c r="E18" s="51"/>
      <c r="F18" s="51"/>
      <c r="G18" s="51"/>
      <c r="H18" s="51"/>
      <c r="I18" s="51"/>
      <c r="J18" s="51"/>
      <c r="K18" s="62"/>
      <c r="L18" s="51"/>
    </row>
    <row r="19" spans="1:12" ht="15.75" customHeight="1" x14ac:dyDescent="0.25">
      <c r="A19" s="456" t="s">
        <v>366</v>
      </c>
      <c r="B19" s="456"/>
      <c r="C19" s="456"/>
      <c r="D19" s="456"/>
      <c r="E19" s="456"/>
      <c r="F19" s="456"/>
      <c r="G19" s="456"/>
      <c r="H19" s="456"/>
      <c r="I19" s="456"/>
      <c r="J19" s="456"/>
      <c r="K19" s="456"/>
      <c r="L19" s="456"/>
    </row>
    <row r="20" spans="1:12" ht="15.75" x14ac:dyDescent="0.25">
      <c r="A20" s="123"/>
      <c r="F20" s="124"/>
    </row>
    <row r="21" spans="1:12" s="126" customFormat="1" ht="15.75" x14ac:dyDescent="0.25">
      <c r="A21" s="125"/>
      <c r="C21" s="132"/>
      <c r="D21" s="132"/>
      <c r="K21" s="127"/>
    </row>
    <row r="22" spans="1:12" s="126" customFormat="1" ht="16.5" hidden="1" thickBot="1" x14ac:dyDescent="0.3">
      <c r="A22" s="125"/>
      <c r="B22" s="458" t="s">
        <v>407</v>
      </c>
      <c r="C22" s="459"/>
      <c r="D22" s="459"/>
      <c r="E22" s="459"/>
      <c r="F22" s="459"/>
      <c r="G22" s="459"/>
      <c r="H22" s="459"/>
      <c r="I22" s="459"/>
      <c r="K22" s="127"/>
    </row>
    <row r="23" spans="1:12" ht="27" customHeight="1" x14ac:dyDescent="0.25">
      <c r="A23" s="457" t="s">
        <v>193</v>
      </c>
      <c r="B23" s="457" t="s">
        <v>456</v>
      </c>
      <c r="C23" s="460" t="s">
        <v>457</v>
      </c>
      <c r="D23" s="460"/>
      <c r="E23" s="460"/>
      <c r="F23" s="460"/>
      <c r="G23" s="460"/>
      <c r="H23" s="460"/>
      <c r="I23" s="461" t="s">
        <v>192</v>
      </c>
      <c r="J23" s="462" t="s">
        <v>458</v>
      </c>
      <c r="K23" s="457" t="s">
        <v>191</v>
      </c>
      <c r="L23" s="465" t="s">
        <v>459</v>
      </c>
    </row>
    <row r="24" spans="1:12" ht="57.75" customHeight="1" x14ac:dyDescent="0.25">
      <c r="A24" s="457"/>
      <c r="B24" s="457"/>
      <c r="C24" s="457" t="s">
        <v>555</v>
      </c>
      <c r="D24" s="457"/>
      <c r="E24" s="457" t="s">
        <v>8</v>
      </c>
      <c r="F24" s="457"/>
      <c r="G24" s="457" t="s">
        <v>556</v>
      </c>
      <c r="H24" s="457"/>
      <c r="I24" s="461"/>
      <c r="J24" s="463"/>
      <c r="K24" s="457"/>
      <c r="L24" s="465"/>
    </row>
    <row r="25" spans="1:12" ht="31.5" x14ac:dyDescent="0.25">
      <c r="A25" s="457"/>
      <c r="B25" s="457"/>
      <c r="C25" s="233" t="s">
        <v>190</v>
      </c>
      <c r="D25" s="233" t="s">
        <v>189</v>
      </c>
      <c r="E25" s="233" t="s">
        <v>190</v>
      </c>
      <c r="F25" s="233" t="s">
        <v>189</v>
      </c>
      <c r="G25" s="233" t="s">
        <v>190</v>
      </c>
      <c r="H25" s="233" t="s">
        <v>189</v>
      </c>
      <c r="I25" s="461"/>
      <c r="J25" s="464"/>
      <c r="K25" s="457"/>
      <c r="L25" s="465"/>
    </row>
    <row r="26" spans="1:12" ht="15.75" x14ac:dyDescent="0.25">
      <c r="A26" s="230">
        <v>1</v>
      </c>
      <c r="B26" s="230">
        <v>2</v>
      </c>
      <c r="C26" s="233">
        <v>3</v>
      </c>
      <c r="D26" s="233">
        <v>4</v>
      </c>
      <c r="E26" s="233">
        <v>5</v>
      </c>
      <c r="F26" s="233">
        <v>6</v>
      </c>
      <c r="G26" s="233">
        <v>7</v>
      </c>
      <c r="H26" s="233">
        <v>8</v>
      </c>
      <c r="I26" s="233">
        <v>9</v>
      </c>
      <c r="J26" s="233">
        <v>10</v>
      </c>
      <c r="K26" s="233">
        <v>11</v>
      </c>
      <c r="L26" s="233">
        <v>12</v>
      </c>
    </row>
    <row r="27" spans="1:12" ht="15.75" x14ac:dyDescent="0.25">
      <c r="A27" s="234">
        <v>1</v>
      </c>
      <c r="B27" s="235" t="s">
        <v>188</v>
      </c>
      <c r="C27" s="237"/>
      <c r="D27" s="237"/>
      <c r="E27" s="236"/>
      <c r="F27" s="236"/>
      <c r="G27" s="237"/>
      <c r="H27" s="237"/>
      <c r="I27" s="237"/>
      <c r="J27" s="236"/>
      <c r="K27" s="238"/>
      <c r="L27" s="239"/>
    </row>
    <row r="28" spans="1:12" ht="15.75" x14ac:dyDescent="0.25">
      <c r="A28" s="234" t="s">
        <v>460</v>
      </c>
      <c r="B28" s="240" t="s">
        <v>461</v>
      </c>
      <c r="C28" s="237" t="s">
        <v>415</v>
      </c>
      <c r="D28" s="237" t="s">
        <v>415</v>
      </c>
      <c r="E28" s="236"/>
      <c r="F28" s="236"/>
      <c r="G28" s="237" t="s">
        <v>415</v>
      </c>
      <c r="H28" s="237" t="s">
        <v>415</v>
      </c>
      <c r="I28" s="237"/>
      <c r="J28" s="236"/>
      <c r="K28" s="238"/>
      <c r="L28" s="238"/>
    </row>
    <row r="29" spans="1:12" ht="31.5" x14ac:dyDescent="0.25">
      <c r="A29" s="234" t="s">
        <v>462</v>
      </c>
      <c r="B29" s="240" t="s">
        <v>463</v>
      </c>
      <c r="C29" s="237" t="s">
        <v>415</v>
      </c>
      <c r="D29" s="237" t="s">
        <v>415</v>
      </c>
      <c r="E29" s="236"/>
      <c r="F29" s="236"/>
      <c r="G29" s="237" t="s">
        <v>415</v>
      </c>
      <c r="H29" s="237" t="s">
        <v>415</v>
      </c>
      <c r="I29" s="237"/>
      <c r="J29" s="236"/>
      <c r="K29" s="238"/>
      <c r="L29" s="238"/>
    </row>
    <row r="30" spans="1:12" ht="63" x14ac:dyDescent="0.25">
      <c r="A30" s="234" t="s">
        <v>464</v>
      </c>
      <c r="B30" s="240" t="s">
        <v>465</v>
      </c>
      <c r="C30" s="237" t="s">
        <v>415</v>
      </c>
      <c r="D30" s="237" t="s">
        <v>415</v>
      </c>
      <c r="E30" s="236"/>
      <c r="F30" s="236"/>
      <c r="G30" s="237" t="s">
        <v>415</v>
      </c>
      <c r="H30" s="237" t="s">
        <v>415</v>
      </c>
      <c r="I30" s="237"/>
      <c r="J30" s="236"/>
      <c r="K30" s="238"/>
      <c r="L30" s="238"/>
    </row>
    <row r="31" spans="1:12" ht="31.5" x14ac:dyDescent="0.25">
      <c r="A31" s="234" t="s">
        <v>466</v>
      </c>
      <c r="B31" s="240" t="s">
        <v>467</v>
      </c>
      <c r="C31" s="237" t="s">
        <v>415</v>
      </c>
      <c r="D31" s="237" t="s">
        <v>415</v>
      </c>
      <c r="E31" s="236"/>
      <c r="F31" s="236"/>
      <c r="G31" s="237" t="s">
        <v>415</v>
      </c>
      <c r="H31" s="237" t="s">
        <v>415</v>
      </c>
      <c r="I31" s="237"/>
      <c r="J31" s="236"/>
      <c r="K31" s="238"/>
      <c r="L31" s="238"/>
    </row>
    <row r="32" spans="1:12" ht="31.5" x14ac:dyDescent="0.25">
      <c r="A32" s="234" t="s">
        <v>468</v>
      </c>
      <c r="B32" s="240" t="s">
        <v>469</v>
      </c>
      <c r="C32" s="237" t="s">
        <v>415</v>
      </c>
      <c r="D32" s="237" t="s">
        <v>415</v>
      </c>
      <c r="E32" s="236"/>
      <c r="F32" s="236"/>
      <c r="G32" s="237" t="s">
        <v>415</v>
      </c>
      <c r="H32" s="237" t="s">
        <v>415</v>
      </c>
      <c r="I32" s="237"/>
      <c r="J32" s="236"/>
      <c r="K32" s="238"/>
      <c r="L32" s="238"/>
    </row>
    <row r="33" spans="1:12" ht="31.5" x14ac:dyDescent="0.25">
      <c r="A33" s="234" t="s">
        <v>470</v>
      </c>
      <c r="B33" s="241" t="s">
        <v>330</v>
      </c>
      <c r="C33" s="242">
        <v>44927</v>
      </c>
      <c r="D33" s="242">
        <v>44985</v>
      </c>
      <c r="E33" s="236"/>
      <c r="F33" s="236"/>
      <c r="G33" s="242">
        <v>44927</v>
      </c>
      <c r="H33" s="242">
        <v>44985</v>
      </c>
      <c r="I33" s="236"/>
      <c r="J33" s="236"/>
      <c r="K33" s="238"/>
      <c r="L33" s="238"/>
    </row>
    <row r="34" spans="1:12" ht="31.5" x14ac:dyDescent="0.25">
      <c r="A34" s="234" t="s">
        <v>471</v>
      </c>
      <c r="B34" s="241" t="s">
        <v>472</v>
      </c>
      <c r="C34" s="242">
        <v>44985</v>
      </c>
      <c r="D34" s="242" t="s">
        <v>541</v>
      </c>
      <c r="E34" s="236"/>
      <c r="F34" s="236"/>
      <c r="G34" s="242">
        <v>44985</v>
      </c>
      <c r="H34" s="242" t="s">
        <v>541</v>
      </c>
      <c r="I34" s="236"/>
      <c r="J34" s="236"/>
      <c r="K34" s="238"/>
      <c r="L34" s="238"/>
    </row>
    <row r="35" spans="1:12" ht="47.25" x14ac:dyDescent="0.25">
      <c r="A35" s="234" t="s">
        <v>473</v>
      </c>
      <c r="B35" s="241" t="s">
        <v>474</v>
      </c>
      <c r="C35" s="237" t="s">
        <v>415</v>
      </c>
      <c r="D35" s="237" t="s">
        <v>415</v>
      </c>
      <c r="E35" s="236"/>
      <c r="F35" s="236"/>
      <c r="G35" s="237" t="s">
        <v>415</v>
      </c>
      <c r="H35" s="237" t="s">
        <v>415</v>
      </c>
      <c r="I35" s="237"/>
      <c r="J35" s="236"/>
      <c r="K35" s="238"/>
      <c r="L35" s="238"/>
    </row>
    <row r="36" spans="1:12" ht="63" x14ac:dyDescent="0.25">
      <c r="A36" s="234" t="s">
        <v>475</v>
      </c>
      <c r="B36" s="241" t="s">
        <v>476</v>
      </c>
      <c r="C36" s="237" t="s">
        <v>415</v>
      </c>
      <c r="D36" s="237" t="s">
        <v>415</v>
      </c>
      <c r="E36" s="243"/>
      <c r="F36" s="243"/>
      <c r="G36" s="237" t="s">
        <v>415</v>
      </c>
      <c r="H36" s="237" t="s">
        <v>415</v>
      </c>
      <c r="I36" s="237"/>
      <c r="J36" s="243"/>
      <c r="K36" s="243"/>
      <c r="L36" s="238"/>
    </row>
    <row r="37" spans="1:12" ht="31.5" x14ac:dyDescent="0.25">
      <c r="A37" s="234" t="s">
        <v>477</v>
      </c>
      <c r="B37" s="241" t="s">
        <v>187</v>
      </c>
      <c r="C37" s="242">
        <v>44985</v>
      </c>
      <c r="D37" s="242" t="s">
        <v>541</v>
      </c>
      <c r="E37" s="243"/>
      <c r="F37" s="243"/>
      <c r="G37" s="242">
        <v>44985</v>
      </c>
      <c r="H37" s="242" t="s">
        <v>541</v>
      </c>
      <c r="I37" s="237"/>
      <c r="J37" s="243"/>
      <c r="K37" s="243"/>
      <c r="L37" s="238"/>
    </row>
    <row r="38" spans="1:12" ht="31.5" x14ac:dyDescent="0.25">
      <c r="A38" s="234" t="s">
        <v>478</v>
      </c>
      <c r="B38" s="241" t="s">
        <v>479</v>
      </c>
      <c r="C38" s="237" t="s">
        <v>415</v>
      </c>
      <c r="D38" s="237" t="s">
        <v>415</v>
      </c>
      <c r="E38" s="244"/>
      <c r="F38" s="245"/>
      <c r="G38" s="237" t="s">
        <v>415</v>
      </c>
      <c r="H38" s="237" t="s">
        <v>415</v>
      </c>
      <c r="I38" s="237"/>
      <c r="J38" s="246"/>
      <c r="K38" s="238"/>
      <c r="L38" s="238"/>
    </row>
    <row r="39" spans="1:12" ht="15.75" x14ac:dyDescent="0.25">
      <c r="A39" s="234" t="s">
        <v>480</v>
      </c>
      <c r="B39" s="241" t="s">
        <v>186</v>
      </c>
      <c r="C39" s="242">
        <v>44985</v>
      </c>
      <c r="D39" s="242" t="s">
        <v>541</v>
      </c>
      <c r="E39" s="244"/>
      <c r="F39" s="245"/>
      <c r="G39" s="242">
        <v>44985</v>
      </c>
      <c r="H39" s="242" t="s">
        <v>541</v>
      </c>
      <c r="I39" s="246"/>
      <c r="J39" s="246"/>
      <c r="K39" s="238"/>
      <c r="L39" s="238"/>
    </row>
    <row r="40" spans="1:12" ht="15.75" x14ac:dyDescent="0.25">
      <c r="A40" s="234" t="s">
        <v>481</v>
      </c>
      <c r="B40" s="235" t="s">
        <v>185</v>
      </c>
      <c r="C40" s="237"/>
      <c r="D40" s="247"/>
      <c r="E40" s="238"/>
      <c r="F40" s="238"/>
      <c r="G40" s="237"/>
      <c r="H40" s="247"/>
      <c r="I40" s="246"/>
      <c r="J40" s="238"/>
      <c r="K40" s="238"/>
      <c r="L40" s="238"/>
    </row>
    <row r="41" spans="1:12" ht="63" x14ac:dyDescent="0.25">
      <c r="A41" s="234">
        <v>2</v>
      </c>
      <c r="B41" s="241" t="s">
        <v>482</v>
      </c>
      <c r="C41" s="242" t="s">
        <v>541</v>
      </c>
      <c r="D41" s="242">
        <v>45107</v>
      </c>
      <c r="E41" s="238"/>
      <c r="F41" s="238"/>
      <c r="G41" s="242" t="s">
        <v>541</v>
      </c>
      <c r="H41" s="242">
        <v>45107</v>
      </c>
      <c r="I41" s="238"/>
      <c r="J41" s="238"/>
      <c r="K41" s="238"/>
      <c r="L41" s="238"/>
    </row>
    <row r="42" spans="1:12" ht="15.75" x14ac:dyDescent="0.25">
      <c r="A42" s="234" t="s">
        <v>483</v>
      </c>
      <c r="B42" s="241" t="s">
        <v>484</v>
      </c>
      <c r="C42" s="237" t="s">
        <v>415</v>
      </c>
      <c r="D42" s="237" t="s">
        <v>415</v>
      </c>
      <c r="E42" s="238"/>
      <c r="F42" s="238"/>
      <c r="G42" s="237" t="s">
        <v>415</v>
      </c>
      <c r="H42" s="237" t="s">
        <v>415</v>
      </c>
      <c r="I42" s="237"/>
      <c r="J42" s="238"/>
      <c r="K42" s="238"/>
      <c r="L42" s="238"/>
    </row>
    <row r="43" spans="1:12" ht="47.25" x14ac:dyDescent="0.25">
      <c r="A43" s="234" t="s">
        <v>485</v>
      </c>
      <c r="B43" s="235" t="s">
        <v>486</v>
      </c>
      <c r="C43" s="242"/>
      <c r="D43" s="248"/>
      <c r="E43" s="238"/>
      <c r="F43" s="238"/>
      <c r="G43" s="242"/>
      <c r="H43" s="248"/>
      <c r="I43" s="238"/>
      <c r="J43" s="238"/>
      <c r="K43" s="238"/>
      <c r="L43" s="238"/>
    </row>
    <row r="44" spans="1:12" ht="31.5" x14ac:dyDescent="0.25">
      <c r="A44" s="234">
        <v>3</v>
      </c>
      <c r="B44" s="241" t="s">
        <v>487</v>
      </c>
      <c r="C44" s="242" t="s">
        <v>541</v>
      </c>
      <c r="D44" s="242">
        <v>45107</v>
      </c>
      <c r="E44" s="238"/>
      <c r="F44" s="238"/>
      <c r="G44" s="242" t="s">
        <v>541</v>
      </c>
      <c r="H44" s="242">
        <v>45107</v>
      </c>
      <c r="I44" s="238"/>
      <c r="J44" s="238"/>
      <c r="K44" s="238"/>
      <c r="L44" s="238"/>
    </row>
    <row r="45" spans="1:12" ht="15.75" x14ac:dyDescent="0.25">
      <c r="A45" s="234" t="s">
        <v>488</v>
      </c>
      <c r="B45" s="241" t="s">
        <v>184</v>
      </c>
      <c r="C45" s="237" t="s">
        <v>415</v>
      </c>
      <c r="D45" s="237" t="s">
        <v>415</v>
      </c>
      <c r="E45" s="238"/>
      <c r="F45" s="238"/>
      <c r="G45" s="237" t="s">
        <v>415</v>
      </c>
      <c r="H45" s="237" t="s">
        <v>415</v>
      </c>
      <c r="I45" s="237"/>
      <c r="J45" s="238"/>
      <c r="K45" s="238"/>
      <c r="L45" s="238"/>
    </row>
    <row r="46" spans="1:12" ht="15.75" x14ac:dyDescent="0.25">
      <c r="A46" s="234" t="s">
        <v>489</v>
      </c>
      <c r="B46" s="241" t="s">
        <v>490</v>
      </c>
      <c r="C46" s="237" t="s">
        <v>415</v>
      </c>
      <c r="D46" s="237" t="s">
        <v>415</v>
      </c>
      <c r="E46" s="238"/>
      <c r="F46" s="238"/>
      <c r="G46" s="237" t="s">
        <v>415</v>
      </c>
      <c r="H46" s="237" t="s">
        <v>415</v>
      </c>
      <c r="I46" s="237"/>
      <c r="J46" s="238"/>
      <c r="K46" s="238"/>
      <c r="L46" s="238"/>
    </row>
    <row r="47" spans="1:12" ht="78.75" x14ac:dyDescent="0.25">
      <c r="A47" s="234" t="s">
        <v>491</v>
      </c>
      <c r="B47" s="241" t="s">
        <v>492</v>
      </c>
      <c r="C47" s="237" t="s">
        <v>415</v>
      </c>
      <c r="D47" s="237" t="s">
        <v>415</v>
      </c>
      <c r="E47" s="238"/>
      <c r="F47" s="238"/>
      <c r="G47" s="237" t="s">
        <v>415</v>
      </c>
      <c r="H47" s="237" t="s">
        <v>415</v>
      </c>
      <c r="I47" s="237"/>
      <c r="J47" s="238"/>
      <c r="K47" s="238"/>
      <c r="L47" s="238"/>
    </row>
    <row r="48" spans="1:12" ht="157.5" x14ac:dyDescent="0.25">
      <c r="A48" s="234" t="s">
        <v>493</v>
      </c>
      <c r="B48" s="241" t="s">
        <v>494</v>
      </c>
      <c r="C48" s="237" t="s">
        <v>415</v>
      </c>
      <c r="D48" s="237" t="s">
        <v>415</v>
      </c>
      <c r="E48" s="238"/>
      <c r="F48" s="238"/>
      <c r="G48" s="237" t="s">
        <v>415</v>
      </c>
      <c r="H48" s="237" t="s">
        <v>415</v>
      </c>
      <c r="I48" s="237"/>
      <c r="J48" s="238"/>
      <c r="K48" s="238"/>
      <c r="L48" s="238"/>
    </row>
    <row r="49" spans="1:12" ht="15.75" x14ac:dyDescent="0.25">
      <c r="A49" s="234" t="s">
        <v>495</v>
      </c>
      <c r="B49" s="241" t="s">
        <v>496</v>
      </c>
      <c r="C49" s="242">
        <v>45199</v>
      </c>
      <c r="D49" s="242">
        <v>45214</v>
      </c>
      <c r="E49" s="238"/>
      <c r="F49" s="238"/>
      <c r="G49" s="242">
        <v>45199</v>
      </c>
      <c r="H49" s="242">
        <v>45214</v>
      </c>
      <c r="I49" s="238"/>
      <c r="J49" s="238"/>
      <c r="K49" s="238"/>
      <c r="L49" s="238"/>
    </row>
    <row r="50" spans="1:12" ht="31.5" x14ac:dyDescent="0.25">
      <c r="A50" s="234" t="s">
        <v>497</v>
      </c>
      <c r="B50" s="235" t="s">
        <v>183</v>
      </c>
      <c r="C50" s="242"/>
      <c r="D50" s="248"/>
      <c r="E50" s="238"/>
      <c r="F50" s="238"/>
      <c r="G50" s="242"/>
      <c r="H50" s="248"/>
      <c r="I50" s="238"/>
      <c r="J50" s="238"/>
      <c r="K50" s="238"/>
      <c r="L50" s="238"/>
    </row>
    <row r="51" spans="1:12" ht="31.5" x14ac:dyDescent="0.25">
      <c r="A51" s="234">
        <v>4</v>
      </c>
      <c r="B51" s="241" t="s">
        <v>182</v>
      </c>
      <c r="C51" s="237" t="s">
        <v>415</v>
      </c>
      <c r="D51" s="237" t="s">
        <v>415</v>
      </c>
      <c r="E51" s="238"/>
      <c r="F51" s="238"/>
      <c r="G51" s="237" t="s">
        <v>415</v>
      </c>
      <c r="H51" s="237" t="s">
        <v>415</v>
      </c>
      <c r="I51" s="238"/>
      <c r="J51" s="238"/>
      <c r="K51" s="238"/>
      <c r="L51" s="238"/>
    </row>
    <row r="52" spans="1:12" ht="78.75" x14ac:dyDescent="0.25">
      <c r="A52" s="234" t="s">
        <v>498</v>
      </c>
      <c r="B52" s="241" t="s">
        <v>499</v>
      </c>
      <c r="C52" s="242">
        <v>45214</v>
      </c>
      <c r="D52" s="249">
        <v>45291</v>
      </c>
      <c r="E52" s="238"/>
      <c r="F52" s="238"/>
      <c r="G52" s="242">
        <v>45214</v>
      </c>
      <c r="H52" s="249">
        <v>45291</v>
      </c>
      <c r="I52" s="237"/>
      <c r="J52" s="238"/>
      <c r="K52" s="238"/>
      <c r="L52" s="238"/>
    </row>
    <row r="53" spans="1:12" ht="63" x14ac:dyDescent="0.25">
      <c r="A53" s="234" t="s">
        <v>500</v>
      </c>
      <c r="B53" s="241" t="s">
        <v>501</v>
      </c>
      <c r="C53" s="237" t="s">
        <v>415</v>
      </c>
      <c r="D53" s="237" t="s">
        <v>415</v>
      </c>
      <c r="E53" s="238"/>
      <c r="F53" s="238"/>
      <c r="G53" s="237" t="s">
        <v>415</v>
      </c>
      <c r="H53" s="237" t="s">
        <v>415</v>
      </c>
      <c r="I53" s="238"/>
      <c r="J53" s="238"/>
      <c r="K53" s="238"/>
      <c r="L53" s="238"/>
    </row>
    <row r="54" spans="1:12" ht="63" x14ac:dyDescent="0.25">
      <c r="A54" s="234" t="s">
        <v>502</v>
      </c>
      <c r="B54" s="241" t="s">
        <v>503</v>
      </c>
      <c r="C54" s="237" t="s">
        <v>415</v>
      </c>
      <c r="D54" s="237" t="s">
        <v>415</v>
      </c>
      <c r="E54" s="238"/>
      <c r="F54" s="238"/>
      <c r="G54" s="237" t="s">
        <v>415</v>
      </c>
      <c r="H54" s="237" t="s">
        <v>415</v>
      </c>
      <c r="I54" s="237"/>
      <c r="J54" s="238"/>
      <c r="K54" s="238"/>
      <c r="L54" s="238"/>
    </row>
    <row r="55" spans="1:12" ht="31.5" x14ac:dyDescent="0.25">
      <c r="A55" s="234" t="s">
        <v>504</v>
      </c>
      <c r="B55" s="250" t="s">
        <v>505</v>
      </c>
      <c r="C55" s="242">
        <v>45214</v>
      </c>
      <c r="D55" s="249">
        <v>45291</v>
      </c>
      <c r="E55" s="238"/>
      <c r="F55" s="238"/>
      <c r="G55" s="242">
        <v>45214</v>
      </c>
      <c r="H55" s="249">
        <v>45291</v>
      </c>
      <c r="I55" s="238"/>
      <c r="J55" s="238"/>
      <c r="K55" s="238"/>
      <c r="L55" s="238"/>
    </row>
    <row r="56" spans="1:12" ht="31.5" x14ac:dyDescent="0.25">
      <c r="A56" s="234" t="s">
        <v>506</v>
      </c>
      <c r="B56" s="241" t="s">
        <v>507</v>
      </c>
      <c r="C56" s="237" t="s">
        <v>415</v>
      </c>
      <c r="D56" s="237" t="s">
        <v>415</v>
      </c>
      <c r="E56" s="238"/>
      <c r="F56" s="238"/>
      <c r="G56" s="237" t="s">
        <v>415</v>
      </c>
      <c r="H56" s="237" t="s">
        <v>415</v>
      </c>
      <c r="I56" s="238"/>
      <c r="J56" s="238"/>
      <c r="K56" s="238"/>
      <c r="L56" s="238"/>
    </row>
  </sheetData>
  <mergeCells count="23">
    <mergeCell ref="A5:L5"/>
    <mergeCell ref="A7:L7"/>
    <mergeCell ref="A9:L9"/>
    <mergeCell ref="A10:L10"/>
    <mergeCell ref="A12:L12"/>
    <mergeCell ref="A8:L8"/>
    <mergeCell ref="A11:L11"/>
    <mergeCell ref="A13:L13"/>
    <mergeCell ref="A15:L15"/>
    <mergeCell ref="A16:L16"/>
    <mergeCell ref="A19:L19"/>
    <mergeCell ref="E24:F24"/>
    <mergeCell ref="B22:I22"/>
    <mergeCell ref="A23:A25"/>
    <mergeCell ref="B23:B25"/>
    <mergeCell ref="A14:L14"/>
    <mergeCell ref="C23:H23"/>
    <mergeCell ref="I23:I25"/>
    <mergeCell ref="J23:J25"/>
    <mergeCell ref="K23:K25"/>
    <mergeCell ref="L23:L25"/>
    <mergeCell ref="C24:D24"/>
    <mergeCell ref="G24:H24"/>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2023-04-28T08:32:18Z</dcterms:modified>
</cp:coreProperties>
</file>